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AlgorithmName="SHA-512" workbookHashValue="b8BZBbPUzuOksZnAlChag55Ga2ho25RQqdwLWUfp9nA8xSMfFkckWsF5q33rNZgTx28/XJ2dulDPqNpi11pUyA==" workbookSaltValue="1uq66ICQR3CUslxCVgB5yw==" workbookSpinCount="100000" lockStructure="1"/>
  <bookViews>
    <workbookView xWindow="0" yWindow="0" windowWidth="20490" windowHeight="7530" tabRatio="802" activeTab="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BF39" i="47"/>
  <c r="K2" i="47"/>
  <c r="K6" i="47" s="1"/>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BV30" i="128"/>
  <c r="CE30" i="128"/>
  <c r="U31" i="128"/>
  <c r="X31" i="128"/>
  <c r="BV31" i="128"/>
  <c r="CE31" i="128"/>
  <c r="U32" i="128"/>
  <c r="X32" i="128"/>
  <c r="BV32" i="128"/>
  <c r="CE32" i="128"/>
  <c r="U33" i="128"/>
  <c r="X33" i="128"/>
  <c r="BV33" i="128"/>
  <c r="CE33" i="128"/>
  <c r="U34" i="128"/>
  <c r="X34" i="128"/>
  <c r="BV34" i="128"/>
  <c r="CE34" i="128"/>
  <c r="U35" i="128"/>
  <c r="X35" i="128"/>
  <c r="BV35" i="128"/>
  <c r="CE35" i="128"/>
  <c r="U36" i="128"/>
  <c r="X36" i="128"/>
  <c r="BV36" i="128"/>
  <c r="CE36" i="128"/>
  <c r="U37" i="128"/>
  <c r="X37" i="128"/>
  <c r="BV37" i="128"/>
  <c r="CE37" i="128"/>
  <c r="U38" i="128"/>
  <c r="X38" i="128"/>
  <c r="BV38" i="128"/>
  <c r="CE38" i="128"/>
  <c r="U39" i="128"/>
  <c r="X39" i="128"/>
  <c r="BV39" i="128"/>
  <c r="CE39" i="128"/>
  <c r="U40" i="128"/>
  <c r="X40" i="128"/>
  <c r="BV40" i="128"/>
  <c r="CE40" i="128"/>
  <c r="U41" i="128"/>
  <c r="X41" i="128"/>
  <c r="BV41" i="128"/>
  <c r="CE41" i="128"/>
  <c r="U42" i="128"/>
  <c r="X42" i="128"/>
  <c r="BV42" i="128"/>
  <c r="CE42" i="128"/>
  <c r="U43" i="128"/>
  <c r="X43" i="128"/>
  <c r="BV43" i="128"/>
  <c r="CE43" i="128"/>
  <c r="U44" i="128"/>
  <c r="X44" i="128"/>
  <c r="BV44" i="128"/>
  <c r="CE44" i="128"/>
  <c r="U45" i="128"/>
  <c r="X45" i="128"/>
  <c r="BV45" i="128"/>
  <c r="CE45" i="128"/>
  <c r="U46" i="128"/>
  <c r="X46" i="128"/>
  <c r="BV46" i="128"/>
  <c r="CE46" i="128"/>
  <c r="U47" i="128"/>
  <c r="X47" i="128"/>
  <c r="BV47" i="128"/>
  <c r="CE47" i="128"/>
  <c r="U48" i="128"/>
  <c r="X48" i="128"/>
  <c r="BV48" i="128"/>
  <c r="CE48" i="128"/>
  <c r="U49" i="128"/>
  <c r="X49" i="128"/>
  <c r="BV49" i="128"/>
  <c r="CE49" i="128"/>
  <c r="U50" i="128"/>
  <c r="X50" i="128"/>
  <c r="BV50" i="128"/>
  <c r="CE50" i="128"/>
  <c r="U51" i="128"/>
  <c r="X51" i="128"/>
  <c r="BV51" i="128"/>
  <c r="CE51" i="128"/>
  <c r="U52" i="128"/>
  <c r="X52" i="128"/>
  <c r="BV52" i="128"/>
  <c r="CE52" i="128"/>
  <c r="U53" i="128"/>
  <c r="X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15" i="130" s="1"/>
  <c r="C16" i="130"/>
  <c r="C13" i="130"/>
  <c r="C15" i="130"/>
  <c r="C11" i="130"/>
  <c r="E11" i="130"/>
  <c r="C12" i="130"/>
  <c r="C14" i="130"/>
  <c r="C17" i="130"/>
  <c r="C18" i="130"/>
  <c r="E18" i="130"/>
  <c r="C19" i="130"/>
  <c r="C20" i="130"/>
  <c r="C21" i="130"/>
  <c r="C22" i="130"/>
  <c r="E22" i="130"/>
  <c r="C23" i="130"/>
  <c r="C24" i="130"/>
  <c r="C25" i="130"/>
  <c r="C26" i="130"/>
  <c r="E26" i="130"/>
  <c r="C27" i="130"/>
  <c r="C28" i="130"/>
  <c r="C29" i="130"/>
  <c r="C30" i="130"/>
  <c r="E30" i="130"/>
  <c r="C31" i="130"/>
  <c r="C32" i="130"/>
  <c r="C33" i="130"/>
  <c r="C34" i="130"/>
  <c r="E34" i="130"/>
  <c r="C35" i="130"/>
  <c r="C36" i="130"/>
  <c r="C37" i="130"/>
  <c r="C38" i="130"/>
  <c r="E38" i="130"/>
  <c r="C39" i="130"/>
  <c r="C40" i="130"/>
  <c r="C41" i="130"/>
  <c r="C42" i="130"/>
  <c r="E42" i="130"/>
  <c r="C34" i="110"/>
  <c r="C6" i="109"/>
  <c r="C10" i="109"/>
  <c r="C14" i="109"/>
  <c r="C18" i="109"/>
  <c r="C22" i="109"/>
  <c r="C26" i="109"/>
  <c r="C30" i="109"/>
  <c r="C34" i="109"/>
  <c r="C38" i="109"/>
  <c r="C42" i="109"/>
  <c r="C46" i="109"/>
  <c r="C50" i="109"/>
  <c r="C54" i="109"/>
  <c r="C58" i="109"/>
  <c r="C62" i="109"/>
  <c r="C66" i="109"/>
  <c r="C6" i="120"/>
  <c r="C10" i="120"/>
  <c r="C14" i="120"/>
  <c r="C18" i="120"/>
  <c r="C22" i="120"/>
  <c r="C26" i="120"/>
  <c r="C30" i="120"/>
  <c r="C34" i="120"/>
  <c r="C38" i="120"/>
  <c r="C42" i="120"/>
  <c r="F42" i="120" s="1"/>
  <c r="C46" i="120"/>
  <c r="C50" i="120"/>
  <c r="C54" i="120"/>
  <c r="C58" i="120"/>
  <c r="C62" i="120"/>
  <c r="C66" i="120"/>
  <c r="F66" i="120" s="1"/>
  <c r="AB66" i="120"/>
  <c r="BQ3" i="115" s="1"/>
  <c r="AB67" i="120"/>
  <c r="BQ4" i="115" s="1"/>
  <c r="C70" i="120"/>
  <c r="C74" i="120"/>
  <c r="C78" i="120"/>
  <c r="C82" i="120"/>
  <c r="C86" i="120"/>
  <c r="C90" i="120"/>
  <c r="C94" i="120"/>
  <c r="C98" i="120"/>
  <c r="C102" i="120"/>
  <c r="C106" i="120"/>
  <c r="AB106" i="120"/>
  <c r="BR5" i="115" s="1"/>
  <c r="AB107" i="120"/>
  <c r="BR6" i="115" s="1"/>
  <c r="C110" i="120"/>
  <c r="C114" i="120"/>
  <c r="F114" i="120" s="1"/>
  <c r="C118" i="120"/>
  <c r="C122" i="120"/>
  <c r="C126" i="120"/>
  <c r="C130" i="120"/>
  <c r="BH3" i="115"/>
  <c r="E4" i="109" s="1"/>
  <c r="BJ3" i="115"/>
  <c r="I6" i="109" s="1"/>
  <c r="AU3" i="115" s="1"/>
  <c r="BL3" i="115"/>
  <c r="M10" i="109" s="1"/>
  <c r="AW3" i="115" s="1"/>
  <c r="AJ3" i="115" s="1"/>
  <c r="E4" i="119" s="1"/>
  <c r="BN3" i="115"/>
  <c r="Q18" i="109" s="1"/>
  <c r="AY3" i="115" s="1"/>
  <c r="AL3" i="115" s="1"/>
  <c r="I6" i="119" s="1"/>
  <c r="X3" i="115" s="1"/>
  <c r="E4" i="118" s="1"/>
  <c r="BP3" i="115"/>
  <c r="U34" i="109" s="1"/>
  <c r="BH4" i="115"/>
  <c r="E65" i="109" s="1"/>
  <c r="BJ4" i="115"/>
  <c r="I63" i="109" s="1"/>
  <c r="AU4" i="115" s="1"/>
  <c r="BL4" i="115"/>
  <c r="M59" i="109" s="1"/>
  <c r="AW4" i="115" s="1"/>
  <c r="AJ4" i="115" s="1"/>
  <c r="E17" i="119" s="1"/>
  <c r="BN4" i="115"/>
  <c r="Q51" i="109" s="1"/>
  <c r="AY4" i="115" s="1"/>
  <c r="AL4" i="115" s="1"/>
  <c r="I15" i="119" s="1"/>
  <c r="X4" i="115" s="1"/>
  <c r="E9" i="118" s="1"/>
  <c r="BP4" i="115"/>
  <c r="U35" i="109" s="1"/>
  <c r="BH5" i="115"/>
  <c r="E36" i="109" s="1"/>
  <c r="BJ5" i="115"/>
  <c r="I38" i="109" s="1"/>
  <c r="AU5" i="115" s="1"/>
  <c r="BL5" i="115"/>
  <c r="M42" i="109" s="1"/>
  <c r="AW5" i="115" s="1"/>
  <c r="AJ5" i="115" s="1"/>
  <c r="E12" i="119" s="1"/>
  <c r="BN5" i="115"/>
  <c r="Q50" i="109" s="1"/>
  <c r="AY5" i="115" s="1"/>
  <c r="AL5" i="115" s="1"/>
  <c r="I14" i="119" s="1"/>
  <c r="X5" i="115" s="1"/>
  <c r="E8" i="118" s="1"/>
  <c r="BP5" i="115"/>
  <c r="U57" i="109" s="1"/>
  <c r="BA5" i="115" s="1"/>
  <c r="AN5" i="115" s="1"/>
  <c r="M21" i="119" s="1"/>
  <c r="Z5" i="115" s="1"/>
  <c r="I17" i="118" s="1"/>
  <c r="BH6" i="115"/>
  <c r="E33" i="109" s="1"/>
  <c r="BJ6" i="115"/>
  <c r="I31" i="109" s="1"/>
  <c r="AU6" i="115" s="1"/>
  <c r="BL6" i="115"/>
  <c r="M27" i="109" s="1"/>
  <c r="AW6" i="115" s="1"/>
  <c r="AJ6" i="115" s="1"/>
  <c r="E9" i="119" s="1"/>
  <c r="BN6" i="115"/>
  <c r="Q19" i="109" s="1"/>
  <c r="AY6" i="115" s="1"/>
  <c r="AL6" i="115" s="1"/>
  <c r="I7" i="119" s="1"/>
  <c r="X6" i="115" s="1"/>
  <c r="E5" i="118" s="1"/>
  <c r="BP6" i="115"/>
  <c r="U56" i="109" s="1"/>
  <c r="BA6" i="115" s="1"/>
  <c r="AN6" i="115" s="1"/>
  <c r="M20" i="119" s="1"/>
  <c r="BH7" i="115"/>
  <c r="E20" i="109" s="1"/>
  <c r="BJ7" i="115"/>
  <c r="I22" i="109" s="1"/>
  <c r="AU7" i="115" s="1"/>
  <c r="BL7" i="115"/>
  <c r="M26" i="109" s="1"/>
  <c r="AW7" i="115" s="1"/>
  <c r="AJ7" i="115" s="1"/>
  <c r="E8" i="119" s="1"/>
  <c r="BH8" i="115"/>
  <c r="E49" i="109" s="1"/>
  <c r="BJ8" i="115"/>
  <c r="I47" i="109" s="1"/>
  <c r="AU8" i="115" s="1"/>
  <c r="BL8" i="115"/>
  <c r="M43" i="109" s="1"/>
  <c r="AW8" i="115" s="1"/>
  <c r="AJ8" i="115" s="1"/>
  <c r="E13" i="119" s="1"/>
  <c r="BH9" i="115"/>
  <c r="E52" i="109" s="1"/>
  <c r="BJ9" i="115"/>
  <c r="I54" i="109" s="1"/>
  <c r="AU9" i="115" s="1"/>
  <c r="BL9" i="115"/>
  <c r="M58" i="109" s="1"/>
  <c r="AW9" i="115" s="1"/>
  <c r="AJ9" i="115" s="1"/>
  <c r="E16" i="119" s="1"/>
  <c r="BH10" i="115"/>
  <c r="E17" i="109" s="1"/>
  <c r="BJ10" i="115"/>
  <c r="I15" i="109" s="1"/>
  <c r="AU10" i="115" s="1"/>
  <c r="BL10" i="115"/>
  <c r="M11" i="109" s="1"/>
  <c r="AW10" i="115" s="1"/>
  <c r="AJ10" i="115" s="1"/>
  <c r="E5" i="119" s="1"/>
  <c r="BH11" i="115"/>
  <c r="E12" i="109" s="1"/>
  <c r="BJ11" i="115"/>
  <c r="I14" i="109" s="1"/>
  <c r="AU11" i="115" s="1"/>
  <c r="BH12" i="115"/>
  <c r="E57" i="109" s="1"/>
  <c r="BJ12" i="115"/>
  <c r="I55" i="109" s="1"/>
  <c r="AU12" i="115" s="1"/>
  <c r="BH13" i="115"/>
  <c r="E44" i="109" s="1"/>
  <c r="BJ13" i="115"/>
  <c r="I46" i="109" s="1"/>
  <c r="AU13" i="115" s="1"/>
  <c r="BH14" i="115"/>
  <c r="E25" i="109" s="1"/>
  <c r="BJ14" i="115"/>
  <c r="I23" i="109" s="1"/>
  <c r="AU14" i="115" s="1"/>
  <c r="BH15" i="115"/>
  <c r="E28" i="109" s="1"/>
  <c r="BJ15" i="115"/>
  <c r="I30" i="109" s="1"/>
  <c r="AU15" i="115" s="1"/>
  <c r="BH16" i="115"/>
  <c r="E41" i="109" s="1"/>
  <c r="BJ16" i="115"/>
  <c r="I39" i="109" s="1"/>
  <c r="AU16" i="115" s="1"/>
  <c r="BH17" i="115"/>
  <c r="E60" i="109" s="1"/>
  <c r="BJ17" i="115"/>
  <c r="I62" i="109" s="1"/>
  <c r="AU17" i="115" s="1"/>
  <c r="BH18" i="115"/>
  <c r="E9" i="109" s="1"/>
  <c r="BJ18" i="115"/>
  <c r="I7" i="109" s="1"/>
  <c r="AU18" i="115"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AM2" i="47"/>
  <c r="S5" i="47"/>
  <c r="S6" i="47"/>
  <c r="H11" i="47"/>
  <c r="BF11" i="47" s="1"/>
  <c r="H12" i="47"/>
  <c r="BF12" i="47" s="1"/>
  <c r="H13" i="47"/>
  <c r="BF13" i="47" s="1"/>
  <c r="H14" i="47"/>
  <c r="BF14" i="47" s="1"/>
  <c r="H15" i="47"/>
  <c r="BF15" i="47" s="1"/>
  <c r="H16" i="47"/>
  <c r="BF16" i="47" s="1"/>
  <c r="H17" i="47"/>
  <c r="BF17" i="47" s="1"/>
  <c r="H18" i="47"/>
  <c r="BF18" i="47" s="1"/>
  <c r="H19" i="47"/>
  <c r="BF19" i="47" s="1"/>
  <c r="H20" i="47"/>
  <c r="BF20" i="47" s="1"/>
  <c r="H21" i="47"/>
  <c r="BF21"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5" i="47"/>
  <c r="BF35" i="47" s="1"/>
  <c r="H36" i="47"/>
  <c r="BF36" i="47" s="1"/>
  <c r="H37" i="47"/>
  <c r="BF37" i="47" s="1"/>
  <c r="H38" i="47"/>
  <c r="BF38" i="47" s="1"/>
  <c r="H40" i="47"/>
  <c r="H41" i="47"/>
  <c r="H42" i="47"/>
  <c r="H39" i="47"/>
  <c r="H43" i="47"/>
  <c r="BF43" i="47" s="1"/>
  <c r="H44" i="47"/>
  <c r="BF44" i="47" s="1"/>
  <c r="H45" i="47"/>
  <c r="BF45" i="47" s="1"/>
  <c r="H46" i="47"/>
  <c r="BF46" i="47" s="1"/>
  <c r="H47" i="47"/>
  <c r="BF47" i="47" s="1"/>
  <c r="H48" i="47"/>
  <c r="BF48" i="47" s="1"/>
  <c r="H49" i="47"/>
  <c r="BF49" i="47" s="1"/>
  <c r="H50" i="47"/>
  <c r="BF50" i="47" s="1"/>
  <c r="H51" i="47"/>
  <c r="BF51" i="47" s="1"/>
  <c r="H52" i="47"/>
  <c r="BF52" i="47" s="1"/>
  <c r="H53" i="47"/>
  <c r="BF53" i="47" s="1"/>
  <c r="H54" i="47"/>
  <c r="BF54" i="47" s="1"/>
  <c r="H55" i="47"/>
  <c r="BF55" i="47" s="1"/>
  <c r="H56" i="47"/>
  <c r="BF56" i="47" s="1"/>
  <c r="H57" i="47"/>
  <c r="BF57" i="47" s="1"/>
  <c r="H58" i="47"/>
  <c r="BF58" i="47" s="1"/>
  <c r="H59" i="47"/>
  <c r="BF59" i="47" s="1"/>
  <c r="H60" i="47"/>
  <c r="BF60" i="47" s="1"/>
  <c r="H61" i="47"/>
  <c r="BF61" i="47" s="1"/>
  <c r="H107" i="47"/>
  <c r="H80" i="47"/>
  <c r="H119" i="47"/>
  <c r="H85" i="47"/>
  <c r="BF85" i="47" s="1"/>
  <c r="H134" i="47"/>
  <c r="H102" i="47"/>
  <c r="H90" i="47"/>
  <c r="H95" i="47"/>
  <c r="H64" i="47"/>
  <c r="H83" i="47"/>
  <c r="H125" i="47"/>
  <c r="H133" i="47"/>
  <c r="BF133" i="47" s="1"/>
  <c r="H130" i="47"/>
  <c r="H77" i="47"/>
  <c r="BF75" i="47" s="1"/>
  <c r="H121" i="47"/>
  <c r="H131" i="47"/>
  <c r="H115" i="47"/>
  <c r="H114" i="47"/>
  <c r="BF79" i="47" s="1"/>
  <c r="H127" i="47"/>
  <c r="H120" i="47"/>
  <c r="H118" i="47"/>
  <c r="H73" i="47"/>
  <c r="BF83" i="47" s="1"/>
  <c r="H138" i="47"/>
  <c r="H74" i="47"/>
  <c r="H135" i="47"/>
  <c r="H88" i="47"/>
  <c r="H75" i="47"/>
  <c r="H117" i="47"/>
  <c r="H69" i="47"/>
  <c r="BF90" i="47" s="1"/>
  <c r="H111" i="47"/>
  <c r="H132" i="47"/>
  <c r="H62" i="47"/>
  <c r="H105" i="47"/>
  <c r="H76" i="47"/>
  <c r="BF95" i="47" s="1"/>
  <c r="H71" i="47"/>
  <c r="H108" i="47"/>
  <c r="H78" i="47"/>
  <c r="H89" i="47"/>
  <c r="BF99" i="47" s="1"/>
  <c r="H116" i="47"/>
  <c r="H112" i="47"/>
  <c r="H110" i="47"/>
  <c r="H106" i="47"/>
  <c r="H104" i="47"/>
  <c r="BF104" i="47" s="1"/>
  <c r="H66" i="47"/>
  <c r="H122" i="47"/>
  <c r="H137" i="47"/>
  <c r="BF107" i="47" s="1"/>
  <c r="H109" i="47"/>
  <c r="H86" i="47"/>
  <c r="H93" i="47"/>
  <c r="BF110" i="47" s="1"/>
  <c r="H94" i="47"/>
  <c r="BF111" i="47" s="1"/>
  <c r="H101" i="47"/>
  <c r="H70" i="47"/>
  <c r="H124" i="47"/>
  <c r="H103" i="47"/>
  <c r="BF115" i="47" s="1"/>
  <c r="H82" i="47"/>
  <c r="BF116" i="47" s="1"/>
  <c r="H84" i="47"/>
  <c r="H99" i="47"/>
  <c r="BF118" i="47" s="1"/>
  <c r="H129" i="47"/>
  <c r="BF119" i="47" s="1"/>
  <c r="H72" i="47"/>
  <c r="H67" i="47"/>
  <c r="H81" i="47"/>
  <c r="BF122" i="47" s="1"/>
  <c r="H65" i="47"/>
  <c r="BF123" i="47" s="1"/>
  <c r="H100" i="47"/>
  <c r="H126" i="47"/>
  <c r="H136" i="47"/>
  <c r="H87" i="47"/>
  <c r="BF127" i="47" s="1"/>
  <c r="H128" i="47"/>
  <c r="BF128" i="47" s="1"/>
  <c r="H63" i="47"/>
  <c r="H79" i="47"/>
  <c r="BF130" i="47" s="1"/>
  <c r="H92" i="47"/>
  <c r="BF131" i="47" s="1"/>
  <c r="H98" i="47"/>
  <c r="BF132" i="47" s="1"/>
  <c r="H97" i="47"/>
  <c r="H113" i="47"/>
  <c r="BF134" i="47" s="1"/>
  <c r="H91" i="47"/>
  <c r="H68" i="47"/>
  <c r="H96" i="47"/>
  <c r="H123" i="47"/>
  <c r="BF138" i="47" s="1"/>
  <c r="K5" i="47"/>
  <c r="K4" i="47"/>
  <c r="F1" i="125" s="1"/>
  <c r="A2" i="61"/>
  <c r="K3" i="47"/>
  <c r="H1" i="123" s="1"/>
  <c r="BF67" i="47" l="1"/>
  <c r="BF63" i="47"/>
  <c r="BF126" i="47"/>
  <c r="BF120" i="47"/>
  <c r="BF112" i="47"/>
  <c r="BF108" i="47"/>
  <c r="BF98" i="47"/>
  <c r="BF96" i="47"/>
  <c r="BF86" i="47"/>
  <c r="BF84" i="47"/>
  <c r="BF82" i="47"/>
  <c r="BF74" i="47"/>
  <c r="BF70" i="47"/>
  <c r="BF66" i="47"/>
  <c r="BF62" i="47"/>
  <c r="BF42" i="47"/>
  <c r="F122" i="120"/>
  <c r="F106" i="120"/>
  <c r="F74" i="120"/>
  <c r="F58" i="120"/>
  <c r="F50" i="120"/>
  <c r="F26" i="120"/>
  <c r="F66" i="109"/>
  <c r="F58" i="109"/>
  <c r="F42" i="109"/>
  <c r="F10" i="109"/>
  <c r="H1" i="127"/>
  <c r="E39" i="130"/>
  <c r="E31" i="130"/>
  <c r="E23" i="130"/>
  <c r="E12" i="130"/>
  <c r="C1" i="128"/>
  <c r="H1" i="122"/>
  <c r="E40" i="130"/>
  <c r="E32" i="130"/>
  <c r="E24" i="130"/>
  <c r="E14" i="130"/>
  <c r="F1" i="126"/>
  <c r="F1" i="123"/>
  <c r="B2" i="61"/>
  <c r="F82" i="120"/>
  <c r="F34" i="120"/>
  <c r="F10" i="120"/>
  <c r="F50" i="109"/>
  <c r="E2" i="61"/>
  <c r="H1" i="124"/>
  <c r="H1" i="125"/>
  <c r="E1" i="128"/>
  <c r="F34" i="109"/>
  <c r="H1" i="126"/>
  <c r="E35" i="130"/>
  <c r="E27" i="130"/>
  <c r="E19" i="130"/>
  <c r="E16" i="130"/>
  <c r="F1" i="127"/>
  <c r="F1" i="124"/>
  <c r="F1" i="122"/>
  <c r="E36" i="130"/>
  <c r="E28" i="130"/>
  <c r="E20" i="130"/>
  <c r="E13" i="130"/>
  <c r="F90" i="120"/>
  <c r="F26" i="109"/>
  <c r="E41" i="130"/>
  <c r="E37" i="130"/>
  <c r="E33" i="130"/>
  <c r="E29" i="130"/>
  <c r="E25" i="130"/>
  <c r="E21" i="130"/>
  <c r="E17" i="130"/>
  <c r="X57" i="109"/>
  <c r="BD6" i="115" s="1"/>
  <c r="X56" i="109"/>
  <c r="BD5" i="115" s="1"/>
  <c r="BA3" i="115"/>
  <c r="AN3" i="115" s="1"/>
  <c r="M10" i="119" s="1"/>
  <c r="X34" i="109"/>
  <c r="BB3" i="115" s="1"/>
  <c r="BF114" i="47"/>
  <c r="BF106" i="47"/>
  <c r="BF102" i="47"/>
  <c r="BF94" i="47"/>
  <c r="BF78" i="47"/>
  <c r="BF101" i="47"/>
  <c r="BF135" i="47"/>
  <c r="BF87" i="47"/>
  <c r="BF137" i="47"/>
  <c r="BF129" i="47"/>
  <c r="BF125" i="47"/>
  <c r="BF121" i="47"/>
  <c r="BF113" i="47"/>
  <c r="BF109" i="47"/>
  <c r="BF105" i="47"/>
  <c r="BF97" i="47"/>
  <c r="BF93" i="47"/>
  <c r="BF89" i="47"/>
  <c r="BF81" i="47"/>
  <c r="BF77" i="47"/>
  <c r="BF73" i="47"/>
  <c r="BF65" i="47"/>
  <c r="BF41" i="47"/>
  <c r="BF69" i="47"/>
  <c r="BF103" i="47"/>
  <c r="BF91" i="47"/>
  <c r="BF136" i="47"/>
  <c r="BF124" i="47"/>
  <c r="BF100" i="47"/>
  <c r="BF92" i="47"/>
  <c r="BF88" i="47"/>
  <c r="BF80" i="47"/>
  <c r="BF76" i="47"/>
  <c r="BF72" i="47"/>
  <c r="BF68" i="47"/>
  <c r="BF64" i="47"/>
  <c r="BF40" i="47"/>
  <c r="BF71" i="47"/>
  <c r="BF117" i="47"/>
  <c r="Z6" i="115"/>
  <c r="I16" i="118" s="1"/>
  <c r="BA4" i="115"/>
  <c r="X35" i="109"/>
  <c r="BB4" i="115" s="1"/>
  <c r="F130" i="120"/>
  <c r="F18" i="120"/>
  <c r="F98" i="120"/>
  <c r="F18" i="109"/>
  <c r="AN97" i="47"/>
  <c r="B493" i="61"/>
  <c r="AU97" i="47"/>
  <c r="AT97" i="47" s="1"/>
  <c r="AO72" i="47"/>
  <c r="B442" i="61"/>
  <c r="AP20" i="47"/>
  <c r="B43" i="61"/>
  <c r="AU78" i="47"/>
  <c r="AT78" i="47" s="1"/>
  <c r="B353" i="61"/>
  <c r="AN78" i="47"/>
  <c r="AO34" i="47"/>
  <c r="B98" i="61"/>
  <c r="B433" i="61"/>
  <c r="AU99" i="47"/>
  <c r="AT99" i="47" s="1"/>
  <c r="AN99" i="47"/>
  <c r="AO51" i="47"/>
  <c r="B166" i="61"/>
  <c r="AU76" i="47"/>
  <c r="AT76" i="47" s="1"/>
  <c r="AN76" i="47"/>
  <c r="B341" i="61"/>
  <c r="B245" i="61"/>
  <c r="AN83" i="47"/>
  <c r="AU83" i="47"/>
  <c r="AT83" i="47" s="1"/>
  <c r="B93" i="61"/>
  <c r="AN33" i="47"/>
  <c r="AU33" i="47"/>
  <c r="AT33" i="47" s="1"/>
  <c r="AQ74" i="47"/>
  <c r="B304" i="61"/>
  <c r="B216" i="61"/>
  <c r="AQ80" i="47"/>
  <c r="B229" i="61"/>
  <c r="AU102" i="47"/>
  <c r="AT102" i="47" s="1"/>
  <c r="AN102" i="47"/>
  <c r="AN122" i="47"/>
  <c r="AU122" i="47"/>
  <c r="AT122" i="47" s="1"/>
  <c r="B385" i="61"/>
  <c r="B236" i="61"/>
  <c r="AQ90" i="47"/>
  <c r="AP74" i="47"/>
  <c r="B303" i="61"/>
  <c r="B20" i="61"/>
  <c r="AQ14" i="47"/>
  <c r="B376" i="61"/>
  <c r="AQ106" i="47"/>
  <c r="B366" i="61"/>
  <c r="AO112" i="47"/>
  <c r="B278" i="61"/>
  <c r="AO114" i="47"/>
  <c r="B96" i="61"/>
  <c r="AQ33" i="47"/>
  <c r="AO77" i="47"/>
  <c r="B262" i="61"/>
  <c r="AU77" i="47"/>
  <c r="AT77" i="47" s="1"/>
  <c r="B261" i="61"/>
  <c r="AN77" i="47"/>
  <c r="AQ92" i="47"/>
  <c r="B488" i="61"/>
  <c r="B212" i="61"/>
  <c r="AQ107" i="47"/>
  <c r="AO11" i="47"/>
  <c r="B6" i="61"/>
  <c r="AO70" i="47"/>
  <c r="B414" i="61"/>
  <c r="B475" i="61"/>
  <c r="AP128" i="47"/>
  <c r="B471" i="61"/>
  <c r="AP87" i="47"/>
  <c r="AO76" i="47"/>
  <c r="B342" i="61"/>
  <c r="B313" i="61"/>
  <c r="AN75" i="47"/>
  <c r="AU75" i="47"/>
  <c r="AT75" i="47" s="1"/>
  <c r="AO26" i="47"/>
  <c r="B66" i="61"/>
  <c r="AP39" i="47"/>
  <c r="B131" i="61"/>
  <c r="AQ135" i="47"/>
  <c r="B308" i="61"/>
  <c r="B332" i="61"/>
  <c r="AQ132" i="47"/>
  <c r="AP118" i="47"/>
  <c r="B291" i="61"/>
  <c r="B511" i="61"/>
  <c r="AP96" i="47"/>
  <c r="B191" i="61"/>
  <c r="AP57" i="47"/>
  <c r="B242" i="61"/>
  <c r="AO64" i="47"/>
  <c r="AO108" i="47"/>
  <c r="B350" i="61"/>
  <c r="B118" i="61"/>
  <c r="AO40" i="47"/>
  <c r="AU27" i="47"/>
  <c r="AT27" i="47" s="1"/>
  <c r="B69" i="61"/>
  <c r="AN27" i="47"/>
  <c r="AQ67" i="47"/>
  <c r="B448" i="61"/>
  <c r="B300" i="61"/>
  <c r="AQ138" i="47"/>
  <c r="AQ95" i="47"/>
  <c r="B240" i="61"/>
  <c r="B487" i="61"/>
  <c r="AP92" i="47"/>
  <c r="AU118" i="47"/>
  <c r="AT118" i="47" s="1"/>
  <c r="AN118" i="47"/>
  <c r="B289" i="61"/>
  <c r="B160" i="61"/>
  <c r="AQ49" i="47"/>
  <c r="B112" i="61"/>
  <c r="AQ37" i="47"/>
  <c r="B44" i="61"/>
  <c r="AQ20" i="47"/>
  <c r="B140" i="61"/>
  <c r="AQ44" i="47"/>
  <c r="AP132" i="47"/>
  <c r="B331" i="61"/>
  <c r="B407" i="61"/>
  <c r="AP94" i="47"/>
  <c r="AO121" i="47"/>
  <c r="B266" i="61"/>
  <c r="AQ78" i="47"/>
  <c r="B356" i="61"/>
  <c r="B153" i="61"/>
  <c r="AU48" i="47"/>
  <c r="AT48" i="47" s="1"/>
  <c r="AN48" i="47"/>
  <c r="AP101" i="47"/>
  <c r="B411" i="61"/>
  <c r="B248" i="61"/>
  <c r="AQ83" i="47"/>
  <c r="B17" i="61"/>
  <c r="AN14" i="47"/>
  <c r="AU14" i="47"/>
  <c r="AT14" i="47" s="1"/>
  <c r="B492" i="61"/>
  <c r="AQ98" i="47"/>
  <c r="AN125" i="47"/>
  <c r="AU125" i="47"/>
  <c r="AT125" i="47" s="1"/>
  <c r="B249" i="61"/>
  <c r="B508" i="61"/>
  <c r="AQ68" i="47"/>
  <c r="AN130" i="47"/>
  <c r="AU130" i="47"/>
  <c r="AT130" i="47" s="1"/>
  <c r="B257" i="61"/>
  <c r="B345" i="61"/>
  <c r="AU71" i="47"/>
  <c r="AT71" i="47" s="1"/>
  <c r="AN71" i="47"/>
  <c r="AN72" i="47"/>
  <c r="B441" i="61"/>
  <c r="AU72" i="47"/>
  <c r="AT72" i="47" s="1"/>
  <c r="AP134" i="47"/>
  <c r="B227" i="61"/>
  <c r="AQ102" i="47"/>
  <c r="B232" i="61"/>
  <c r="B76" i="61"/>
  <c r="AQ28" i="47"/>
  <c r="AQ17" i="47"/>
  <c r="B32" i="61"/>
  <c r="AP83" i="47"/>
  <c r="B247" i="61"/>
  <c r="AP69" i="47"/>
  <c r="B323" i="61"/>
  <c r="AU110" i="47"/>
  <c r="AT110" i="47" s="1"/>
  <c r="B369" i="61"/>
  <c r="AN110" i="47"/>
  <c r="AQ82" i="47"/>
  <c r="B428" i="61"/>
  <c r="B373" i="61"/>
  <c r="AN106" i="47"/>
  <c r="AU106" i="47"/>
  <c r="AT106" i="47" s="1"/>
  <c r="AU13" i="47"/>
  <c r="AT13" i="47" s="1"/>
  <c r="AN13" i="47"/>
  <c r="B13" i="61"/>
  <c r="AP53" i="47"/>
  <c r="B175" i="61"/>
  <c r="AO80" i="47"/>
  <c r="B214" i="61"/>
  <c r="AU26" i="47"/>
  <c r="AT26" i="47" s="1"/>
  <c r="AN26" i="47"/>
  <c r="B65" i="61"/>
  <c r="AU23" i="47"/>
  <c r="AT23" i="47" s="1"/>
  <c r="AN23" i="47"/>
  <c r="B53" i="61"/>
  <c r="AP51" i="47"/>
  <c r="B167" i="61"/>
  <c r="B269" i="61"/>
  <c r="AU131" i="47"/>
  <c r="AT131" i="47" s="1"/>
  <c r="AN131" i="47"/>
  <c r="AO102" i="47"/>
  <c r="B230" i="61"/>
  <c r="AN134" i="47"/>
  <c r="AU134" i="47"/>
  <c r="AT134" i="47" s="1"/>
  <c r="B225" i="61"/>
  <c r="B260" i="61"/>
  <c r="AQ130" i="47"/>
  <c r="AU67" i="47"/>
  <c r="AT67" i="47" s="1"/>
  <c r="AN67" i="47"/>
  <c r="B445" i="61"/>
  <c r="B40" i="61"/>
  <c r="AQ19" i="47"/>
  <c r="AQ81" i="47"/>
  <c r="B452" i="61"/>
  <c r="AN64" i="47"/>
  <c r="AU64" i="47"/>
  <c r="AT64" i="47" s="1"/>
  <c r="B241" i="61"/>
  <c r="B79" i="61"/>
  <c r="AP29" i="47"/>
  <c r="B48" i="61"/>
  <c r="AQ21" i="47"/>
  <c r="B496" i="61"/>
  <c r="AQ97" i="47"/>
  <c r="B410" i="61"/>
  <c r="AO101" i="47"/>
  <c r="B107" i="61"/>
  <c r="AP36" i="47"/>
  <c r="AP95" i="47"/>
  <c r="B239" i="61"/>
  <c r="AP30" i="47"/>
  <c r="B83" i="61"/>
  <c r="B84" i="61"/>
  <c r="AQ30" i="47"/>
  <c r="AU54" i="47"/>
  <c r="AT54" i="47" s="1"/>
  <c r="B177" i="61"/>
  <c r="AN54" i="47"/>
  <c r="B388" i="61"/>
  <c r="AQ122" i="47"/>
  <c r="B246" i="61"/>
  <c r="AO83" i="47"/>
  <c r="AP119" i="47"/>
  <c r="B219" i="61"/>
  <c r="B395" i="61"/>
  <c r="AP109" i="47"/>
  <c r="AU81" i="47"/>
  <c r="AT81" i="47" s="1"/>
  <c r="B449" i="61"/>
  <c r="AN81" i="47"/>
  <c r="AP89" i="47"/>
  <c r="B359" i="61"/>
  <c r="AO91" i="47"/>
  <c r="B502" i="61"/>
  <c r="AN89" i="47"/>
  <c r="AU89" i="47"/>
  <c r="AT89" i="47" s="1"/>
  <c r="B357" i="61"/>
  <c r="B515" i="61"/>
  <c r="AP123" i="47"/>
  <c r="B23" i="61"/>
  <c r="AP15" i="47"/>
  <c r="AQ79" i="47"/>
  <c r="B484" i="61"/>
  <c r="B389" i="61"/>
  <c r="AN137" i="47"/>
  <c r="AU137" i="47"/>
  <c r="AT137" i="47" s="1"/>
  <c r="AU17" i="47"/>
  <c r="AT17" i="47" s="1"/>
  <c r="B29" i="61"/>
  <c r="AN17" i="47"/>
  <c r="B434" i="61"/>
  <c r="AO99" i="47"/>
  <c r="AP24" i="47"/>
  <c r="B59" i="61"/>
  <c r="AN21" i="47"/>
  <c r="B45" i="61"/>
  <c r="AU21" i="47"/>
  <c r="AT21" i="47" s="1"/>
  <c r="AP58" i="47"/>
  <c r="B195" i="61"/>
  <c r="AP42" i="47"/>
  <c r="B127" i="61"/>
  <c r="AU22" i="47"/>
  <c r="AT22" i="47" s="1"/>
  <c r="AN22" i="47"/>
  <c r="B49" i="61"/>
  <c r="AO122" i="47"/>
  <c r="B386" i="61"/>
  <c r="AQ53" i="47"/>
  <c r="B176" i="61"/>
  <c r="AO110" i="47"/>
  <c r="B370" i="61"/>
  <c r="B135" i="61"/>
  <c r="AP43" i="47"/>
  <c r="AP50" i="47"/>
  <c r="B163" i="61"/>
  <c r="AO132" i="47"/>
  <c r="B330" i="61"/>
  <c r="AQ133" i="47"/>
  <c r="B256" i="61"/>
  <c r="AO56" i="47"/>
  <c r="B186" i="61"/>
  <c r="AU136" i="47"/>
  <c r="AT136" i="47" s="1"/>
  <c r="AN136" i="47"/>
  <c r="B465" i="61"/>
  <c r="AN50" i="47"/>
  <c r="AU50" i="47"/>
  <c r="AT50" i="47" s="1"/>
  <c r="B161" i="61"/>
  <c r="AU105" i="47"/>
  <c r="AT105" i="47" s="1"/>
  <c r="AN105" i="47"/>
  <c r="B337" i="61"/>
  <c r="AP11" i="47"/>
  <c r="B7" i="61"/>
  <c r="AQ32" i="47"/>
  <c r="B92" i="61"/>
  <c r="B111" i="61"/>
  <c r="AP37" i="47"/>
  <c r="AO73" i="47"/>
  <c r="B294" i="61"/>
  <c r="B363" i="61"/>
  <c r="AP116" i="47"/>
  <c r="AN15" i="47"/>
  <c r="B21" i="61"/>
  <c r="AU15" i="47"/>
  <c r="AT15" i="47" s="1"/>
  <c r="AN35" i="47"/>
  <c r="B101" i="61"/>
  <c r="AU35" i="47"/>
  <c r="AT35" i="47" s="1"/>
  <c r="AU62" i="47"/>
  <c r="AT62" i="47" s="1"/>
  <c r="B333" i="61"/>
  <c r="AN62" i="47"/>
  <c r="AQ66" i="47"/>
  <c r="B384" i="61"/>
  <c r="AP73" i="47"/>
  <c r="B295" i="61"/>
  <c r="AQ100" i="47"/>
  <c r="B460" i="61"/>
  <c r="AO71" i="47"/>
  <c r="B346" i="61"/>
  <c r="B380" i="61"/>
  <c r="AQ104" i="47"/>
  <c r="AO15" i="47"/>
  <c r="B22" i="61"/>
  <c r="B115" i="61"/>
  <c r="AP38" i="47"/>
  <c r="AO39" i="47"/>
  <c r="B130" i="61"/>
  <c r="AO129" i="47"/>
  <c r="B438" i="61"/>
  <c r="AO89" i="47"/>
  <c r="B358" i="61"/>
  <c r="B206" i="61"/>
  <c r="AO61" i="47"/>
  <c r="B446" i="61"/>
  <c r="AO67" i="47"/>
  <c r="AQ112" i="47"/>
  <c r="B368" i="61"/>
  <c r="B171" i="61"/>
  <c r="AP52" i="47"/>
  <c r="AU113" i="47"/>
  <c r="AT113" i="47" s="1"/>
  <c r="B497" i="61"/>
  <c r="AN113" i="47"/>
  <c r="B250" i="61"/>
  <c r="AO125" i="47"/>
  <c r="AQ85" i="47"/>
  <c r="B224" i="61"/>
  <c r="B404" i="61"/>
  <c r="AQ93" i="47"/>
  <c r="B336" i="61"/>
  <c r="AQ62" i="47"/>
  <c r="AQ43" i="47"/>
  <c r="B136" i="61"/>
  <c r="AP45" i="47"/>
  <c r="B143" i="61"/>
  <c r="AO38" i="47"/>
  <c r="B114" i="61"/>
  <c r="AO97" i="47"/>
  <c r="B494" i="61"/>
  <c r="AQ119" i="47"/>
  <c r="B220" i="61"/>
  <c r="B68" i="61"/>
  <c r="AQ26" i="47"/>
  <c r="B99" i="61"/>
  <c r="AP34" i="47"/>
  <c r="AU70" i="47"/>
  <c r="AT70" i="47" s="1"/>
  <c r="AN70" i="47"/>
  <c r="B413" i="61"/>
  <c r="AU103" i="47"/>
  <c r="AT103" i="47" s="1"/>
  <c r="AN103" i="47"/>
  <c r="B421" i="61"/>
  <c r="AU104" i="47"/>
  <c r="AT104" i="47" s="1"/>
  <c r="B377" i="61"/>
  <c r="AN104" i="47"/>
  <c r="B228" i="61"/>
  <c r="AQ134" i="47"/>
  <c r="AP41" i="47"/>
  <c r="B123" i="61"/>
  <c r="AQ73" i="47"/>
  <c r="B296" i="61"/>
  <c r="AQ58" i="47"/>
  <c r="B196" i="61"/>
  <c r="B402" i="61"/>
  <c r="AO93" i="47"/>
  <c r="B116" i="61"/>
  <c r="AQ38" i="47"/>
  <c r="AN88" i="47"/>
  <c r="B309" i="61"/>
  <c r="AU88" i="47"/>
  <c r="AT88" i="47" s="1"/>
  <c r="B400" i="61"/>
  <c r="AQ86" i="47"/>
  <c r="B253" i="61"/>
  <c r="AU133" i="47"/>
  <c r="AT133" i="47" s="1"/>
  <c r="AN133" i="47"/>
  <c r="AO21" i="47"/>
  <c r="B46" i="61"/>
  <c r="AN52" i="47"/>
  <c r="AU52" i="47"/>
  <c r="AT52" i="47" s="1"/>
  <c r="B169" i="61"/>
  <c r="B322" i="61"/>
  <c r="AO69" i="47"/>
  <c r="AO16" i="47"/>
  <c r="B26" i="61"/>
  <c r="B302" i="61"/>
  <c r="AO74" i="47"/>
  <c r="B198" i="61"/>
  <c r="AO59" i="47"/>
  <c r="AQ24" i="47"/>
  <c r="B60" i="61"/>
  <c r="AO115" i="47"/>
  <c r="B274" i="61"/>
  <c r="AO98" i="47"/>
  <c r="B490" i="61"/>
  <c r="B473" i="61"/>
  <c r="AU128" i="47"/>
  <c r="AT128" i="47" s="1"/>
  <c r="AN128" i="47"/>
  <c r="AP46" i="47"/>
  <c r="B147" i="61"/>
  <c r="B106" i="61"/>
  <c r="AO36" i="47"/>
  <c r="AU37" i="47"/>
  <c r="AT37" i="47" s="1"/>
  <c r="AN37" i="47"/>
  <c r="B109" i="61"/>
  <c r="AN108" i="47"/>
  <c r="B349" i="61"/>
  <c r="AU108" i="47"/>
  <c r="AT108" i="47" s="1"/>
  <c r="AP106" i="47"/>
  <c r="B375" i="61"/>
  <c r="B263" i="61"/>
  <c r="AP77" i="47"/>
  <c r="AO133" i="47"/>
  <c r="B254" i="61"/>
  <c r="B280" i="61"/>
  <c r="AQ114" i="47"/>
  <c r="B108" i="61"/>
  <c r="AQ36" i="47"/>
  <c r="B284" i="61"/>
  <c r="AQ127" i="47"/>
  <c r="B290" i="61"/>
  <c r="AO118" i="47"/>
  <c r="AN119" i="47"/>
  <c r="AU119" i="47"/>
  <c r="AT119" i="47" s="1"/>
  <c r="B217" i="61"/>
  <c r="AP104" i="47"/>
  <c r="B379" i="61"/>
  <c r="B422" i="61"/>
  <c r="AO103" i="47"/>
  <c r="B431" i="61"/>
  <c r="AP84" i="47"/>
  <c r="B387" i="61"/>
  <c r="AP122" i="47"/>
  <c r="AU19" i="47"/>
  <c r="AT19" i="47" s="1"/>
  <c r="B37" i="61"/>
  <c r="AN19" i="47"/>
  <c r="B371" i="61"/>
  <c r="AP110" i="47"/>
  <c r="AP49" i="47"/>
  <c r="B159" i="61"/>
  <c r="AO32" i="47"/>
  <c r="B90" i="61"/>
  <c r="AP60" i="47"/>
  <c r="B203" i="61"/>
  <c r="B31" i="61"/>
  <c r="AP17" i="47"/>
  <c r="B480" i="61"/>
  <c r="AQ63" i="47"/>
  <c r="B9" i="61"/>
  <c r="AN12" i="47"/>
  <c r="AU12" i="47"/>
  <c r="AT12" i="47" s="1"/>
  <c r="AQ89" i="47"/>
  <c r="B360" i="61"/>
  <c r="B479" i="61"/>
  <c r="AP63" i="47"/>
  <c r="B499" i="61"/>
  <c r="AP113" i="47"/>
  <c r="AP107" i="47"/>
  <c r="B211" i="61"/>
  <c r="AU36" i="47"/>
  <c r="AT36" i="47" s="1"/>
  <c r="B105" i="61"/>
  <c r="AN36" i="47"/>
  <c r="AO17" i="47"/>
  <c r="B30" i="61"/>
  <c r="AU79" i="47"/>
  <c r="AT79" i="47" s="1"/>
  <c r="B481" i="61"/>
  <c r="AN79" i="47"/>
  <c r="B120" i="61"/>
  <c r="AQ40" i="47"/>
  <c r="B267" i="61"/>
  <c r="AP121" i="47"/>
  <c r="AU49" i="47"/>
  <c r="AT49" i="47" s="1"/>
  <c r="B157" i="61"/>
  <c r="AN49" i="47"/>
  <c r="B391" i="61"/>
  <c r="AP137" i="47"/>
  <c r="AO128" i="47"/>
  <c r="B474" i="61"/>
  <c r="B47" i="61"/>
  <c r="AP21" i="47"/>
  <c r="AO87" i="47"/>
  <c r="B470" i="61"/>
  <c r="AO13" i="47"/>
  <c r="B14" i="61"/>
  <c r="AU51" i="47"/>
  <c r="AT51" i="47" s="1"/>
  <c r="AN51" i="47"/>
  <c r="B165" i="61"/>
  <c r="B426" i="61"/>
  <c r="AO82" i="47"/>
  <c r="AU111" i="47"/>
  <c r="AT111" i="47" s="1"/>
  <c r="B325" i="61"/>
  <c r="AN111" i="47"/>
  <c r="B324" i="61"/>
  <c r="AQ69" i="47"/>
  <c r="AP71" i="47"/>
  <c r="B347" i="61"/>
  <c r="B134" i="61"/>
  <c r="AO43" i="47"/>
  <c r="AN28" i="47"/>
  <c r="AU28" i="47"/>
  <c r="AT28" i="47" s="1"/>
  <c r="B73" i="61"/>
  <c r="AQ34" i="47"/>
  <c r="B100" i="61"/>
  <c r="AP131" i="47"/>
  <c r="B271" i="61"/>
  <c r="AU29" i="47"/>
  <c r="AT29" i="47" s="1"/>
  <c r="B77" i="61"/>
  <c r="AN29" i="47"/>
  <c r="AO57" i="47"/>
  <c r="B190" i="61"/>
  <c r="AO105" i="47"/>
  <c r="B338" i="61"/>
  <c r="B138" i="61"/>
  <c r="AO44" i="47"/>
  <c r="AO37" i="47"/>
  <c r="B110" i="61"/>
  <c r="B459" i="61"/>
  <c r="AP100" i="47"/>
  <c r="B128" i="61"/>
  <c r="AQ42" i="47"/>
  <c r="B54" i="61"/>
  <c r="AO23" i="47"/>
  <c r="B314" i="61"/>
  <c r="AO75" i="47"/>
  <c r="AU135" i="47"/>
  <c r="AT135" i="47" s="1"/>
  <c r="AN135" i="47"/>
  <c r="B305" i="61"/>
  <c r="AQ11" i="47"/>
  <c r="B8" i="61"/>
  <c r="AQ51" i="47"/>
  <c r="B168" i="61"/>
  <c r="B401" i="61"/>
  <c r="AU93" i="47"/>
  <c r="AT93" i="47" s="1"/>
  <c r="AN93" i="47"/>
  <c r="B364" i="61"/>
  <c r="AQ116" i="47"/>
  <c r="B24" i="61"/>
  <c r="AQ15" i="47"/>
  <c r="B205" i="61"/>
  <c r="AU61" i="47"/>
  <c r="AT61" i="47" s="1"/>
  <c r="AN61" i="47"/>
  <c r="AU109" i="47"/>
  <c r="AT109" i="47" s="1"/>
  <c r="AN109" i="47"/>
  <c r="B393" i="61"/>
  <c r="B11" i="61"/>
  <c r="AP12" i="47"/>
  <c r="B15" i="61"/>
  <c r="AP13" i="47"/>
  <c r="AN73" i="47"/>
  <c r="AU73" i="47"/>
  <c r="AT73" i="47" s="1"/>
  <c r="B293" i="61"/>
  <c r="AQ108" i="47"/>
  <c r="B352" i="61"/>
  <c r="B218" i="61"/>
  <c r="AO119" i="47"/>
  <c r="B500" i="61"/>
  <c r="AQ113" i="47"/>
  <c r="B396" i="61"/>
  <c r="AQ109" i="47"/>
  <c r="B394" i="61"/>
  <c r="AO109" i="47"/>
  <c r="B252" i="61"/>
  <c r="AQ125" i="47"/>
  <c r="AQ120" i="47"/>
  <c r="B288" i="61"/>
  <c r="AU59" i="47"/>
  <c r="AT59" i="47" s="1"/>
  <c r="AN59" i="47"/>
  <c r="B197" i="61"/>
  <c r="AO58" i="47"/>
  <c r="B194" i="61"/>
  <c r="AO130" i="47"/>
  <c r="B258" i="61"/>
  <c r="B243" i="61"/>
  <c r="AP64" i="47"/>
  <c r="B231" i="61"/>
  <c r="AP102" i="47"/>
  <c r="B199" i="61"/>
  <c r="AP59" i="47"/>
  <c r="AN74" i="47"/>
  <c r="AU74" i="47"/>
  <c r="AT74" i="47" s="1"/>
  <c r="B301" i="61"/>
  <c r="B132" i="61"/>
  <c r="AQ39" i="47"/>
  <c r="AN100" i="47"/>
  <c r="AU100" i="47"/>
  <c r="AT100" i="47" s="1"/>
  <c r="B457" i="61"/>
  <c r="B317" i="61"/>
  <c r="AN117" i="47"/>
  <c r="AU117" i="47"/>
  <c r="AT117" i="47" s="1"/>
  <c r="B504" i="61"/>
  <c r="AQ91" i="47"/>
  <c r="AO62" i="47"/>
  <c r="B334" i="61"/>
  <c r="B463" i="61"/>
  <c r="AP126" i="47"/>
  <c r="B430" i="61"/>
  <c r="AO84" i="47"/>
  <c r="B447" i="61"/>
  <c r="AP67" i="47"/>
  <c r="B192" i="61"/>
  <c r="AQ57" i="47"/>
  <c r="B172" i="61"/>
  <c r="AQ52" i="47"/>
  <c r="AN112" i="47"/>
  <c r="AU112" i="47"/>
  <c r="AT112" i="47" s="1"/>
  <c r="B365" i="61"/>
  <c r="B354" i="61"/>
  <c r="AO78" i="47"/>
  <c r="AO111" i="47"/>
  <c r="B326" i="61"/>
  <c r="B516" i="61"/>
  <c r="AQ123" i="47"/>
  <c r="B403" i="61"/>
  <c r="AP93" i="47"/>
  <c r="AP19" i="47"/>
  <c r="B39" i="61"/>
  <c r="B307" i="61"/>
  <c r="AP135" i="47"/>
  <c r="AQ55" i="47"/>
  <c r="B184" i="61"/>
  <c r="AQ126" i="47"/>
  <c r="B464" i="61"/>
  <c r="AQ94" i="47"/>
  <c r="B408" i="61"/>
  <c r="AQ45" i="47"/>
  <c r="B144" i="61"/>
  <c r="B125" i="61"/>
  <c r="AN42" i="47"/>
  <c r="AU42" i="47"/>
  <c r="AT42" i="47" s="1"/>
  <c r="AO136" i="47"/>
  <c r="B466" i="61"/>
  <c r="B154" i="61"/>
  <c r="AO48" i="47"/>
  <c r="AP14" i="47"/>
  <c r="B19" i="61"/>
  <c r="AU25" i="47"/>
  <c r="AT25" i="47" s="1"/>
  <c r="AN25" i="47"/>
  <c r="B61" i="61"/>
  <c r="B286" i="61"/>
  <c r="AO120" i="47"/>
  <c r="B427" i="61"/>
  <c r="AP82" i="47"/>
  <c r="AP114" i="47"/>
  <c r="B279" i="61"/>
  <c r="AU65" i="47"/>
  <c r="AT65" i="47" s="1"/>
  <c r="AN65" i="47"/>
  <c r="B453" i="61"/>
  <c r="AP97" i="47"/>
  <c r="B495" i="61"/>
  <c r="B82" i="61"/>
  <c r="AO30" i="47"/>
  <c r="AP90" i="47"/>
  <c r="B235" i="61"/>
  <c r="B455" i="61"/>
  <c r="AP65" i="47"/>
  <c r="AP16" i="47"/>
  <c r="B27" i="61"/>
  <c r="B89" i="61"/>
  <c r="AU32" i="47"/>
  <c r="AT32" i="47" s="1"/>
  <c r="AN32" i="47"/>
  <c r="B319" i="61"/>
  <c r="AP117" i="47"/>
  <c r="AP112" i="47"/>
  <c r="B367" i="61"/>
  <c r="AP28" i="47"/>
  <c r="B75" i="61"/>
  <c r="AP81" i="47"/>
  <c r="B451" i="61"/>
  <c r="AN63" i="47"/>
  <c r="B477" i="61"/>
  <c r="AU63" i="47"/>
  <c r="AT63" i="47" s="1"/>
  <c r="AQ121" i="47"/>
  <c r="B268" i="61"/>
  <c r="B306" i="61"/>
  <c r="AO135" i="47"/>
  <c r="AQ136" i="47"/>
  <c r="B468" i="61"/>
  <c r="AU91" i="47"/>
  <c r="AT91" i="47" s="1"/>
  <c r="B501" i="61"/>
  <c r="AN91" i="47"/>
  <c r="B35" i="61"/>
  <c r="AP18" i="47"/>
  <c r="AO14" i="47"/>
  <c r="B18" i="61"/>
  <c r="AU58" i="47"/>
  <c r="AT58" i="47" s="1"/>
  <c r="B193" i="61"/>
  <c r="AN58" i="47"/>
  <c r="AP27" i="47"/>
  <c r="B71" i="61"/>
  <c r="B462" i="61"/>
  <c r="AO126" i="47"/>
  <c r="AU43" i="47"/>
  <c r="AT43" i="47" s="1"/>
  <c r="B133" i="61"/>
  <c r="AN43" i="47"/>
  <c r="AP55" i="47"/>
  <c r="B183" i="61"/>
  <c r="B513" i="61"/>
  <c r="AU123" i="47"/>
  <c r="AT123" i="47" s="1"/>
  <c r="AN123" i="47"/>
  <c r="B287" i="61"/>
  <c r="AP120" i="47"/>
  <c r="AU80" i="47"/>
  <c r="AT80" i="47" s="1"/>
  <c r="B213" i="61"/>
  <c r="AN80" i="47"/>
  <c r="B88" i="61"/>
  <c r="AQ31" i="47"/>
  <c r="AQ16" i="47"/>
  <c r="B28" i="61"/>
  <c r="AP22" i="47"/>
  <c r="B51" i="61"/>
  <c r="B418" i="61"/>
  <c r="AO124" i="47"/>
  <c r="AN101" i="47"/>
  <c r="B409" i="61"/>
  <c r="AU101" i="47"/>
  <c r="AT101" i="47" s="1"/>
  <c r="AP33" i="47"/>
  <c r="B95" i="61"/>
  <c r="B311" i="61"/>
  <c r="AP88" i="47"/>
  <c r="AQ76" i="47"/>
  <c r="B344" i="61"/>
  <c r="B478" i="61"/>
  <c r="AO63" i="47"/>
  <c r="AN129" i="47"/>
  <c r="AU129" i="47"/>
  <c r="AT129" i="47" s="1"/>
  <c r="B437" i="61"/>
  <c r="B251" i="61"/>
  <c r="AP125" i="47"/>
  <c r="AP47" i="47"/>
  <c r="B151" i="61"/>
  <c r="B146" i="61"/>
  <c r="AO46" i="47"/>
  <c r="B104" i="61"/>
  <c r="AQ35" i="47"/>
  <c r="AU121" i="47"/>
  <c r="AT121" i="47" s="1"/>
  <c r="AN121" i="47"/>
  <c r="B265" i="61"/>
  <c r="B164" i="61"/>
  <c r="AQ50" i="47"/>
  <c r="B348" i="61"/>
  <c r="AQ71" i="47"/>
  <c r="B174" i="61"/>
  <c r="AO53" i="47"/>
  <c r="AQ25" i="47"/>
  <c r="B64" i="61"/>
  <c r="AP138" i="47"/>
  <c r="B299" i="61"/>
  <c r="B16" i="61"/>
  <c r="AQ13" i="47"/>
  <c r="B390" i="61"/>
  <c r="AO137" i="47"/>
  <c r="B70" i="61"/>
  <c r="AO27" i="47"/>
  <c r="AP70" i="47"/>
  <c r="B415" i="61"/>
  <c r="AN18" i="47"/>
  <c r="AU18" i="47"/>
  <c r="AT18" i="47" s="1"/>
  <c r="B33" i="61"/>
  <c r="AP78" i="47"/>
  <c r="B355" i="61"/>
  <c r="AO88" i="47"/>
  <c r="B310" i="61"/>
  <c r="B141" i="61"/>
  <c r="AN45" i="47"/>
  <c r="AU45" i="47"/>
  <c r="AT45" i="47" s="1"/>
  <c r="AU127" i="47"/>
  <c r="AT127" i="47" s="1"/>
  <c r="B281" i="61"/>
  <c r="AN127" i="47"/>
  <c r="AO127" i="47"/>
  <c r="B282" i="61"/>
  <c r="AU34" i="47"/>
  <c r="AT34" i="47" s="1"/>
  <c r="AN34" i="47"/>
  <c r="B97" i="61"/>
  <c r="B405" i="61"/>
  <c r="AN94" i="47"/>
  <c r="AU94" i="47"/>
  <c r="AT94" i="47" s="1"/>
  <c r="AO18" i="47"/>
  <c r="B34" i="61"/>
  <c r="AU46" i="47"/>
  <c r="AT46" i="47" s="1"/>
  <c r="B145" i="61"/>
  <c r="AN46" i="47"/>
  <c r="AN44" i="47"/>
  <c r="AU44" i="47"/>
  <c r="AT44" i="47" s="1"/>
  <c r="B137" i="61"/>
  <c r="B215" i="61"/>
  <c r="AP80" i="47"/>
  <c r="B277" i="61"/>
  <c r="AN114" i="47"/>
  <c r="AU114" i="47"/>
  <c r="AT114" i="47" s="1"/>
  <c r="AN31" i="47"/>
  <c r="B85" i="61"/>
  <c r="AU31" i="47"/>
  <c r="AT31" i="47" s="1"/>
  <c r="AQ77" i="47"/>
  <c r="B264" i="61"/>
  <c r="AO94" i="47"/>
  <c r="B406" i="61"/>
  <c r="B312" i="61"/>
  <c r="AQ88" i="47"/>
  <c r="AO50" i="47"/>
  <c r="B162" i="61"/>
  <c r="AN69" i="47"/>
  <c r="B321" i="61"/>
  <c r="AU69" i="47"/>
  <c r="AT69" i="47" s="1"/>
  <c r="AN115" i="47"/>
  <c r="B273" i="61"/>
  <c r="AU115" i="47"/>
  <c r="AT115" i="47" s="1"/>
  <c r="B187" i="61"/>
  <c r="AP56" i="47"/>
  <c r="AU124" i="47"/>
  <c r="AT124" i="47" s="1"/>
  <c r="B417" i="61"/>
  <c r="AN124" i="47"/>
  <c r="B121" i="61"/>
  <c r="AU41" i="47"/>
  <c r="AT41" i="47" s="1"/>
  <c r="AN41" i="47"/>
  <c r="AN40" i="47"/>
  <c r="AU40" i="47"/>
  <c r="AT40" i="47" s="1"/>
  <c r="B117" i="61"/>
  <c r="B509" i="61"/>
  <c r="AU96" i="47"/>
  <c r="AT96" i="47" s="1"/>
  <c r="AN96" i="47"/>
  <c r="B91" i="61"/>
  <c r="AP32" i="47"/>
  <c r="B67" i="61"/>
  <c r="AP26" i="47"/>
  <c r="B512" i="61"/>
  <c r="AQ96" i="47"/>
  <c r="AO45" i="47"/>
  <c r="B142" i="61"/>
  <c r="AO92" i="47"/>
  <c r="B486" i="61"/>
  <c r="AN30" i="47"/>
  <c r="AU30" i="47"/>
  <c r="AT30" i="47" s="1"/>
  <c r="B81" i="61"/>
  <c r="AP124" i="47"/>
  <c r="B419" i="61"/>
  <c r="AP75" i="47"/>
  <c r="B315" i="61"/>
  <c r="AP40" i="47"/>
  <c r="B119" i="61"/>
  <c r="AQ101" i="47"/>
  <c r="B412" i="61"/>
  <c r="B233" i="61"/>
  <c r="AN90" i="47"/>
  <c r="AU90" i="47"/>
  <c r="AT90" i="47" s="1"/>
  <c r="B25" i="61"/>
  <c r="AN16" i="47"/>
  <c r="AU16" i="47"/>
  <c r="AT16" i="47" s="1"/>
  <c r="AP23" i="47"/>
  <c r="B55" i="61"/>
  <c r="AO134" i="47"/>
  <c r="B226" i="61"/>
  <c r="AO24" i="47"/>
  <c r="B58" i="61"/>
  <c r="B383" i="61"/>
  <c r="AP66" i="47"/>
  <c r="B57" i="61"/>
  <c r="AN24" i="47"/>
  <c r="AU24" i="47"/>
  <c r="AT24" i="47" s="1"/>
  <c r="AQ137" i="47"/>
  <c r="B392" i="61"/>
  <c r="AP103" i="47"/>
  <c r="B423" i="61"/>
  <c r="B210" i="61"/>
  <c r="AO107" i="47"/>
  <c r="AQ60" i="47"/>
  <c r="B204" i="61"/>
  <c r="AQ59" i="47"/>
  <c r="B200" i="61"/>
  <c r="AQ110" i="47"/>
  <c r="B372" i="61"/>
  <c r="B335" i="61"/>
  <c r="AP62" i="47"/>
  <c r="B155" i="61"/>
  <c r="AP48" i="47"/>
  <c r="B456" i="61"/>
  <c r="AQ65" i="47"/>
  <c r="AO25" i="47"/>
  <c r="B62" i="61"/>
  <c r="B87" i="61"/>
  <c r="AP31" i="47"/>
  <c r="B381" i="61"/>
  <c r="AU66" i="47"/>
  <c r="AT66" i="47" s="1"/>
  <c r="AN66" i="47"/>
  <c r="B50" i="61"/>
  <c r="AO22" i="47"/>
  <c r="B72" i="61"/>
  <c r="AQ27" i="47"/>
  <c r="B152" i="61"/>
  <c r="AQ47" i="47"/>
  <c r="AP68" i="47"/>
  <c r="B507" i="61"/>
  <c r="B94" i="61"/>
  <c r="AO33" i="47"/>
  <c r="AQ117" i="47"/>
  <c r="B320" i="61"/>
  <c r="B223" i="61"/>
  <c r="AP85" i="47"/>
  <c r="B170" i="61"/>
  <c r="AO52" i="47"/>
  <c r="B439" i="61"/>
  <c r="AP129" i="47"/>
  <c r="AO66" i="47"/>
  <c r="B382" i="61"/>
  <c r="AO81" i="47"/>
  <c r="B450" i="61"/>
  <c r="AO28" i="47"/>
  <c r="B74" i="61"/>
  <c r="AO86" i="47"/>
  <c r="B398" i="61"/>
  <c r="AP86" i="47"/>
  <c r="B399" i="61"/>
  <c r="B126" i="61"/>
  <c r="AO42" i="47"/>
  <c r="AP98" i="47"/>
  <c r="B491" i="61"/>
  <c r="AQ118" i="47"/>
  <c r="B292" i="61"/>
  <c r="B476" i="61"/>
  <c r="AQ128" i="47"/>
  <c r="AP91" i="47"/>
  <c r="B503" i="61"/>
  <c r="B416" i="61"/>
  <c r="AQ70" i="47"/>
  <c r="B5" i="61"/>
  <c r="AN11" i="47"/>
  <c r="AU11" i="47"/>
  <c r="AN38" i="47"/>
  <c r="AU38" i="47"/>
  <c r="AT38" i="47" s="1"/>
  <c r="B113" i="61"/>
  <c r="AO41" i="47"/>
  <c r="B122" i="61"/>
  <c r="AQ41" i="47"/>
  <c r="B124" i="61"/>
  <c r="B318" i="61"/>
  <c r="AO117" i="47"/>
  <c r="B80" i="61"/>
  <c r="AQ29" i="47"/>
  <c r="B429" i="61"/>
  <c r="AU84" i="47"/>
  <c r="AT84" i="47" s="1"/>
  <c r="AN84" i="47"/>
  <c r="AQ115" i="47"/>
  <c r="B276" i="61"/>
  <c r="B436" i="61"/>
  <c r="AQ99" i="47"/>
  <c r="AQ56" i="47"/>
  <c r="B188" i="61"/>
  <c r="B244" i="61"/>
  <c r="AQ64" i="47"/>
  <c r="B328" i="61"/>
  <c r="AQ111" i="47"/>
  <c r="B259" i="61"/>
  <c r="AP130" i="47"/>
  <c r="AQ129" i="47"/>
  <c r="B440" i="61"/>
  <c r="B339" i="61"/>
  <c r="AP105" i="47"/>
  <c r="AO35" i="47"/>
  <c r="B102" i="61"/>
  <c r="AU56" i="47"/>
  <c r="AT56" i="47" s="1"/>
  <c r="B185" i="61"/>
  <c r="AN56" i="47"/>
  <c r="AQ22" i="47"/>
  <c r="B52" i="61"/>
  <c r="B207" i="61"/>
  <c r="AP61" i="47"/>
  <c r="AU39" i="47"/>
  <c r="AT39" i="47" s="1"/>
  <c r="B129" i="61"/>
  <c r="AN39" i="47"/>
  <c r="AN82" i="47"/>
  <c r="AU82" i="47"/>
  <c r="AT82" i="47" s="1"/>
  <c r="B425" i="61"/>
  <c r="AQ72" i="47"/>
  <c r="B444" i="61"/>
  <c r="AU95" i="47"/>
  <c r="AT95" i="47" s="1"/>
  <c r="B237" i="61"/>
  <c r="AN95" i="47"/>
  <c r="B420" i="61"/>
  <c r="AQ124" i="47"/>
  <c r="AU47" i="47"/>
  <c r="AT47" i="47" s="1"/>
  <c r="AN47" i="47"/>
  <c r="B149" i="61"/>
  <c r="AP108" i="47"/>
  <c r="B351" i="61"/>
  <c r="B222" i="61"/>
  <c r="AO85" i="47"/>
  <c r="AQ18" i="47"/>
  <c r="B36" i="61"/>
  <c r="AQ12" i="47"/>
  <c r="B12" i="61"/>
  <c r="AO20" i="47"/>
  <c r="B42" i="61"/>
  <c r="B362" i="61"/>
  <c r="AO116" i="47"/>
  <c r="AU87" i="47"/>
  <c r="AT87" i="47" s="1"/>
  <c r="B469" i="61"/>
  <c r="AN87" i="47"/>
  <c r="B510" i="61"/>
  <c r="AO96" i="47"/>
  <c r="B38" i="61"/>
  <c r="AO19" i="47"/>
  <c r="B208" i="61"/>
  <c r="AQ61" i="47"/>
  <c r="AP54" i="47"/>
  <c r="B179" i="61"/>
  <c r="AU53" i="47"/>
  <c r="AT53" i="47" s="1"/>
  <c r="AN53" i="47"/>
  <c r="B173" i="61"/>
  <c r="AP72" i="47"/>
  <c r="B443" i="61"/>
  <c r="B150" i="61"/>
  <c r="AO47" i="47"/>
  <c r="B156" i="61"/>
  <c r="AQ48" i="47"/>
  <c r="B343" i="61"/>
  <c r="AP76" i="47"/>
  <c r="AO29" i="47"/>
  <c r="B78" i="61"/>
  <c r="AP127" i="47"/>
  <c r="B283" i="61"/>
  <c r="B202" i="61"/>
  <c r="AO60" i="47"/>
  <c r="B316" i="61"/>
  <c r="AQ75" i="47"/>
  <c r="AN57" i="47"/>
  <c r="AR57" i="47" s="1"/>
  <c r="AU57" i="47"/>
  <c r="AT57" i="47" s="1"/>
  <c r="B189" i="61"/>
  <c r="AP111" i="47"/>
  <c r="B327" i="61"/>
  <c r="AN132" i="47"/>
  <c r="AU132" i="47"/>
  <c r="AT132" i="47" s="1"/>
  <c r="B329" i="61"/>
  <c r="AO31" i="47"/>
  <c r="B86" i="61"/>
  <c r="AO123" i="47"/>
  <c r="B514" i="61"/>
  <c r="B454" i="61"/>
  <c r="AO65" i="47"/>
  <c r="AQ84" i="47"/>
  <c r="B432" i="61"/>
  <c r="AO55" i="47"/>
  <c r="B182" i="61"/>
  <c r="AU120" i="47"/>
  <c r="AT120" i="47" s="1"/>
  <c r="AN120" i="47"/>
  <c r="B285" i="61"/>
  <c r="AN86" i="47"/>
  <c r="AU86" i="47"/>
  <c r="AT86" i="47" s="1"/>
  <c r="B397" i="61"/>
  <c r="AP79" i="47"/>
  <c r="B483" i="61"/>
  <c r="AP99" i="47"/>
  <c r="B435" i="61"/>
  <c r="AN107" i="47"/>
  <c r="AU107" i="47"/>
  <c r="AT107" i="47" s="1"/>
  <c r="B209" i="61"/>
  <c r="B158" i="61"/>
  <c r="AO49" i="47"/>
  <c r="B178" i="61"/>
  <c r="AO54" i="47"/>
  <c r="B298" i="61"/>
  <c r="AO138" i="47"/>
  <c r="AO113" i="47"/>
  <c r="B498" i="61"/>
  <c r="AN60" i="47"/>
  <c r="AU60" i="47"/>
  <c r="AT60" i="47" s="1"/>
  <c r="B201" i="61"/>
  <c r="B275" i="61"/>
  <c r="AP115" i="47"/>
  <c r="B180" i="61"/>
  <c r="AQ54" i="47"/>
  <c r="AO131" i="47"/>
  <c r="B270" i="61"/>
  <c r="AU55" i="47"/>
  <c r="AT55" i="47" s="1"/>
  <c r="AN55" i="47"/>
  <c r="B181" i="61"/>
  <c r="AQ131" i="47"/>
  <c r="B272" i="61"/>
  <c r="AO100" i="47"/>
  <c r="B458" i="61"/>
  <c r="AQ105" i="47"/>
  <c r="B340" i="61"/>
  <c r="AO106" i="47"/>
  <c r="B374" i="61"/>
  <c r="B63" i="61"/>
  <c r="AP25" i="47"/>
  <c r="B139" i="61"/>
  <c r="AP44" i="47"/>
  <c r="B56" i="61"/>
  <c r="AQ23" i="47"/>
  <c r="AP35" i="47"/>
  <c r="B103" i="61"/>
  <c r="B505" i="61"/>
  <c r="AU68" i="47"/>
  <c r="AT68" i="47" s="1"/>
  <c r="AN68" i="47"/>
  <c r="B10" i="61"/>
  <c r="AO12" i="47"/>
  <c r="AQ46" i="47"/>
  <c r="B148" i="61"/>
  <c r="AO95" i="47"/>
  <c r="B238" i="61"/>
  <c r="B424" i="61"/>
  <c r="AQ103" i="47"/>
  <c r="B378" i="61"/>
  <c r="AO104" i="47"/>
  <c r="AN126" i="47"/>
  <c r="AR126" i="47" s="1"/>
  <c r="AU126" i="47"/>
  <c r="AT126" i="47" s="1"/>
  <c r="B461" i="61"/>
  <c r="B297" i="61"/>
  <c r="AU138" i="47"/>
  <c r="AT138" i="47" s="1"/>
  <c r="AN138" i="47"/>
  <c r="B221" i="61"/>
  <c r="AN85" i="47"/>
  <c r="AU85" i="47"/>
  <c r="AT85" i="47" s="1"/>
  <c r="AO90" i="47"/>
  <c r="B234" i="61"/>
  <c r="AP133" i="47"/>
  <c r="B255" i="61"/>
  <c r="AU116" i="47"/>
  <c r="AT116" i="47" s="1"/>
  <c r="AN116" i="47"/>
  <c r="B361" i="61"/>
  <c r="AO79" i="47"/>
  <c r="B482" i="61"/>
  <c r="AQ87" i="47"/>
  <c r="B472" i="61"/>
  <c r="AP136" i="47"/>
  <c r="B467" i="61"/>
  <c r="AO68" i="47"/>
  <c r="B506" i="61"/>
  <c r="AU92" i="47"/>
  <c r="AT92" i="47" s="1"/>
  <c r="B485" i="61"/>
  <c r="AN92" i="47"/>
  <c r="AU20" i="47"/>
  <c r="AT20" i="47" s="1"/>
  <c r="B41" i="61"/>
  <c r="AN20" i="47"/>
  <c r="AU98" i="47"/>
  <c r="AT98" i="47" s="1"/>
  <c r="B489" i="61"/>
  <c r="AN98" i="47"/>
  <c r="AR74" i="47" l="1"/>
  <c r="AR11" i="47"/>
  <c r="AR43" i="47"/>
  <c r="AR53" i="47"/>
  <c r="AR107" i="47"/>
  <c r="AR24" i="47"/>
  <c r="AR98" i="47"/>
  <c r="AR116" i="47"/>
  <c r="AR56" i="47"/>
  <c r="AR30" i="47"/>
  <c r="AR36" i="47"/>
  <c r="AR121" i="47"/>
  <c r="AR20" i="47"/>
  <c r="AR55" i="47"/>
  <c r="AR85" i="47"/>
  <c r="AR47" i="47"/>
  <c r="AR138" i="47"/>
  <c r="AN4" i="115"/>
  <c r="M11" i="119" s="1"/>
  <c r="Z4" i="115" s="1"/>
  <c r="I7" i="118" s="1"/>
  <c r="Z3" i="115"/>
  <c r="I6" i="118" s="1"/>
  <c r="AR101" i="47"/>
  <c r="AR91" i="47"/>
  <c r="AR42" i="47"/>
  <c r="AR117" i="47"/>
  <c r="AR29" i="47"/>
  <c r="AR90" i="47"/>
  <c r="AR96" i="47"/>
  <c r="C485" i="61"/>
  <c r="A92" i="47"/>
  <c r="C506" i="61"/>
  <c r="A138" i="47"/>
  <c r="C297" i="61"/>
  <c r="E378" i="61"/>
  <c r="E238" i="61"/>
  <c r="C10" i="61"/>
  <c r="C505" i="61"/>
  <c r="A68" i="47"/>
  <c r="C63" i="61"/>
  <c r="C374" i="61"/>
  <c r="C458" i="61"/>
  <c r="E201" i="61"/>
  <c r="E298" i="61"/>
  <c r="C182" i="61"/>
  <c r="C454" i="61"/>
  <c r="C514" i="61"/>
  <c r="E86" i="61"/>
  <c r="C86" i="61"/>
  <c r="C327" i="61"/>
  <c r="C38" i="61"/>
  <c r="E510" i="61"/>
  <c r="A87" i="47"/>
  <c r="C469" i="61"/>
  <c r="E362" i="61"/>
  <c r="E42" i="61"/>
  <c r="C222" i="61"/>
  <c r="C351" i="61"/>
  <c r="E149" i="61"/>
  <c r="A95" i="47"/>
  <c r="C237" i="61"/>
  <c r="C207" i="61"/>
  <c r="C102" i="61"/>
  <c r="E259" i="61"/>
  <c r="E429" i="61"/>
  <c r="E318" i="61"/>
  <c r="C122" i="61"/>
  <c r="E503" i="61"/>
  <c r="E491" i="61"/>
  <c r="C74" i="61"/>
  <c r="C450" i="61"/>
  <c r="E450" i="61"/>
  <c r="C439" i="61"/>
  <c r="C507" i="61"/>
  <c r="E50" i="61"/>
  <c r="E381" i="61"/>
  <c r="C87" i="61"/>
  <c r="E62" i="61"/>
  <c r="C155" i="61"/>
  <c r="E335" i="61"/>
  <c r="C383" i="61"/>
  <c r="C58" i="61"/>
  <c r="E58" i="61"/>
  <c r="C226" i="61"/>
  <c r="A16" i="47"/>
  <c r="C25" i="61"/>
  <c r="C233" i="61"/>
  <c r="A90" i="47"/>
  <c r="E119" i="61"/>
  <c r="C315" i="61"/>
  <c r="C419" i="61"/>
  <c r="C486" i="61"/>
  <c r="C67" i="61"/>
  <c r="E509" i="61"/>
  <c r="C117" i="61"/>
  <c r="A40" i="47"/>
  <c r="C187" i="61"/>
  <c r="C406" i="61"/>
  <c r="A31" i="47"/>
  <c r="C85" i="61"/>
  <c r="E215" i="61"/>
  <c r="C215" i="61"/>
  <c r="C137" i="61"/>
  <c r="A44" i="47"/>
  <c r="E145" i="61"/>
  <c r="C34" i="61"/>
  <c r="E282" i="61"/>
  <c r="E281" i="61"/>
  <c r="A45" i="47"/>
  <c r="C141" i="61"/>
  <c r="A18" i="47"/>
  <c r="C33" i="61"/>
  <c r="E415" i="61"/>
  <c r="C390" i="61"/>
  <c r="E299" i="61"/>
  <c r="E265" i="61"/>
  <c r="C146" i="61"/>
  <c r="C151" i="61"/>
  <c r="C251" i="61"/>
  <c r="E437" i="61"/>
  <c r="E478" i="61"/>
  <c r="C311" i="61"/>
  <c r="C51" i="61"/>
  <c r="E213" i="61"/>
  <c r="C183" i="61"/>
  <c r="C133" i="61"/>
  <c r="A43" i="47"/>
  <c r="C462" i="61"/>
  <c r="E71" i="61"/>
  <c r="E193" i="61"/>
  <c r="C306" i="61"/>
  <c r="E477" i="61"/>
  <c r="E367" i="61"/>
  <c r="A32" i="47"/>
  <c r="C89" i="61"/>
  <c r="C447" i="61"/>
  <c r="E430" i="61"/>
  <c r="E463" i="61"/>
  <c r="E334" i="61"/>
  <c r="A117" i="47"/>
  <c r="G117" i="47" s="1"/>
  <c r="B117" i="47" s="1"/>
  <c r="C317" i="61"/>
  <c r="A100" i="47"/>
  <c r="C457" i="61"/>
  <c r="E301" i="61"/>
  <c r="C199" i="61"/>
  <c r="E231" i="61"/>
  <c r="E243" i="61"/>
  <c r="E258" i="61"/>
  <c r="C194" i="61"/>
  <c r="E197" i="61"/>
  <c r="C11" i="61"/>
  <c r="E205" i="61"/>
  <c r="C314" i="61"/>
  <c r="E459" i="61"/>
  <c r="E110" i="61"/>
  <c r="C271" i="61"/>
  <c r="E73" i="61"/>
  <c r="C134" i="61"/>
  <c r="E325" i="61"/>
  <c r="E426" i="61"/>
  <c r="E267" i="61"/>
  <c r="C481" i="61"/>
  <c r="A79" i="47"/>
  <c r="C30" i="61"/>
  <c r="C105" i="61"/>
  <c r="A36" i="47"/>
  <c r="G36" i="47" s="1"/>
  <c r="B36" i="47" s="1"/>
  <c r="E211" i="61"/>
  <c r="C499" i="61"/>
  <c r="C479" i="61"/>
  <c r="A12" i="47"/>
  <c r="C9" i="61"/>
  <c r="E31" i="61"/>
  <c r="E203" i="61"/>
  <c r="C159" i="61"/>
  <c r="A19" i="47"/>
  <c r="C37" i="61"/>
  <c r="E387" i="61"/>
  <c r="C422" i="61"/>
  <c r="E109" i="61"/>
  <c r="E106" i="61"/>
  <c r="C147" i="61"/>
  <c r="E473" i="61"/>
  <c r="C274" i="61"/>
  <c r="E198" i="61"/>
  <c r="E26" i="61"/>
  <c r="C46" i="61"/>
  <c r="E253" i="61"/>
  <c r="E309" i="61"/>
  <c r="C402" i="61"/>
  <c r="C123" i="61"/>
  <c r="A104" i="47"/>
  <c r="C377" i="61"/>
  <c r="E114" i="61"/>
  <c r="C250" i="61"/>
  <c r="C497" i="61"/>
  <c r="A113" i="47"/>
  <c r="C358" i="61"/>
  <c r="E438" i="61"/>
  <c r="C22" i="61"/>
  <c r="E465" i="61"/>
  <c r="E186" i="61"/>
  <c r="C330" i="61"/>
  <c r="E163" i="61"/>
  <c r="E135" i="61"/>
  <c r="E370" i="61"/>
  <c r="E386" i="61"/>
  <c r="E49" i="61"/>
  <c r="C127" i="61"/>
  <c r="E389" i="61"/>
  <c r="C502" i="61"/>
  <c r="C359" i="61"/>
  <c r="A81" i="47"/>
  <c r="C449" i="61"/>
  <c r="C83" i="61"/>
  <c r="E239" i="61"/>
  <c r="C107" i="61"/>
  <c r="C410" i="61"/>
  <c r="E79" i="61"/>
  <c r="A64" i="47"/>
  <c r="C241" i="61"/>
  <c r="A67" i="47"/>
  <c r="C445" i="61"/>
  <c r="E230" i="61"/>
  <c r="A131" i="47"/>
  <c r="C269" i="61"/>
  <c r="E167" i="61"/>
  <c r="A23" i="47"/>
  <c r="C53" i="61"/>
  <c r="E65" i="61"/>
  <c r="E373" i="61"/>
  <c r="E369" i="61"/>
  <c r="E323" i="61"/>
  <c r="C247" i="61"/>
  <c r="C227" i="61"/>
  <c r="A72" i="47"/>
  <c r="C441" i="61"/>
  <c r="C345" i="61"/>
  <c r="A71" i="47"/>
  <c r="A130" i="47"/>
  <c r="C257" i="61"/>
  <c r="E249" i="61"/>
  <c r="E17" i="61"/>
  <c r="C411" i="61"/>
  <c r="A48" i="47"/>
  <c r="C153" i="61"/>
  <c r="C266" i="61"/>
  <c r="C407" i="61"/>
  <c r="C331" i="61"/>
  <c r="E289" i="61"/>
  <c r="E487" i="61"/>
  <c r="E69" i="61"/>
  <c r="E118" i="61"/>
  <c r="C350" i="61"/>
  <c r="E242" i="61"/>
  <c r="E191" i="61"/>
  <c r="E511" i="61"/>
  <c r="E291" i="61"/>
  <c r="C131" i="61"/>
  <c r="C66" i="61"/>
  <c r="A75" i="47"/>
  <c r="C313" i="61"/>
  <c r="C342" i="61"/>
  <c r="E471" i="61"/>
  <c r="C475" i="61"/>
  <c r="C414" i="61"/>
  <c r="E6" i="61"/>
  <c r="E261" i="61"/>
  <c r="C262" i="61"/>
  <c r="C278" i="61"/>
  <c r="C366" i="61"/>
  <c r="C303" i="61"/>
  <c r="C385" i="61"/>
  <c r="A122" i="47"/>
  <c r="E229" i="61"/>
  <c r="E93" i="61"/>
  <c r="E245" i="61"/>
  <c r="E341" i="61"/>
  <c r="C166" i="61"/>
  <c r="E433" i="61"/>
  <c r="C98" i="61"/>
  <c r="E353" i="61"/>
  <c r="E43" i="61"/>
  <c r="E442" i="61"/>
  <c r="E493" i="61"/>
  <c r="C489" i="61"/>
  <c r="A98" i="47"/>
  <c r="G98" i="47" s="1"/>
  <c r="B98" i="47" s="1"/>
  <c r="E467" i="61"/>
  <c r="C482" i="61"/>
  <c r="C361" i="61"/>
  <c r="A116" i="47"/>
  <c r="E234" i="61"/>
  <c r="E461" i="61"/>
  <c r="E103" i="61"/>
  <c r="E139" i="61"/>
  <c r="C270" i="61"/>
  <c r="C201" i="61"/>
  <c r="A60" i="47"/>
  <c r="E498" i="61"/>
  <c r="C298" i="61"/>
  <c r="E178" i="61"/>
  <c r="E209" i="61"/>
  <c r="C209" i="61"/>
  <c r="A107" i="47"/>
  <c r="G107" i="47" s="1"/>
  <c r="B107" i="47" s="1"/>
  <c r="C435" i="61"/>
  <c r="C483" i="61"/>
  <c r="A86" i="47"/>
  <c r="C397" i="61"/>
  <c r="E285" i="61"/>
  <c r="E327" i="61"/>
  <c r="C202" i="61"/>
  <c r="E283" i="61"/>
  <c r="E78" i="61"/>
  <c r="E343" i="61"/>
  <c r="E150" i="61"/>
  <c r="C150" i="61"/>
  <c r="C443" i="61"/>
  <c r="E425" i="61"/>
  <c r="E129" i="61"/>
  <c r="C185" i="61"/>
  <c r="A56" i="47"/>
  <c r="C339" i="61"/>
  <c r="E113" i="61"/>
  <c r="A11" i="47"/>
  <c r="G11" i="47" s="1"/>
  <c r="B11" i="47" s="1"/>
  <c r="C5" i="61"/>
  <c r="C126" i="61"/>
  <c r="E399" i="61"/>
  <c r="C398" i="61"/>
  <c r="E382" i="61"/>
  <c r="E170" i="61"/>
  <c r="E223" i="61"/>
  <c r="C94" i="61"/>
  <c r="C50" i="61"/>
  <c r="C210" i="61"/>
  <c r="E423" i="61"/>
  <c r="E57" i="61"/>
  <c r="E315" i="61"/>
  <c r="A30" i="47"/>
  <c r="C81" i="61"/>
  <c r="C142" i="61"/>
  <c r="C91" i="61"/>
  <c r="E121" i="61"/>
  <c r="C417" i="61"/>
  <c r="A124" i="47"/>
  <c r="E273" i="61"/>
  <c r="A69" i="47"/>
  <c r="C321" i="61"/>
  <c r="E162" i="61"/>
  <c r="A94" i="47"/>
  <c r="C405" i="61"/>
  <c r="E97" i="61"/>
  <c r="E33" i="61"/>
  <c r="C299" i="61"/>
  <c r="C174" i="61"/>
  <c r="E95" i="61"/>
  <c r="C409" i="61"/>
  <c r="A101" i="47"/>
  <c r="E418" i="61"/>
  <c r="C287" i="61"/>
  <c r="A123" i="47"/>
  <c r="C513" i="61"/>
  <c r="C18" i="61"/>
  <c r="C35" i="61"/>
  <c r="A91" i="47"/>
  <c r="G91" i="47" s="1"/>
  <c r="B91" i="47" s="1"/>
  <c r="C501" i="61"/>
  <c r="E451" i="61"/>
  <c r="E75" i="61"/>
  <c r="C319" i="61"/>
  <c r="C27" i="61"/>
  <c r="E455" i="61"/>
  <c r="E235" i="61"/>
  <c r="E82" i="61"/>
  <c r="C495" i="61"/>
  <c r="E453" i="61"/>
  <c r="C279" i="61"/>
  <c r="C427" i="61"/>
  <c r="E286" i="61"/>
  <c r="A25" i="47"/>
  <c r="C61" i="61"/>
  <c r="E19" i="61"/>
  <c r="C154" i="61"/>
  <c r="C466" i="61"/>
  <c r="C125" i="61"/>
  <c r="A42" i="47"/>
  <c r="G42" i="47" s="1"/>
  <c r="B42" i="47" s="1"/>
  <c r="C307" i="61"/>
  <c r="C39" i="61"/>
  <c r="E403" i="61"/>
  <c r="C326" i="61"/>
  <c r="E354" i="61"/>
  <c r="A112" i="47"/>
  <c r="C365" i="61"/>
  <c r="C394" i="61"/>
  <c r="C218" i="61"/>
  <c r="E293" i="61"/>
  <c r="C15" i="61"/>
  <c r="C393" i="61"/>
  <c r="A109" i="47"/>
  <c r="A93" i="47"/>
  <c r="C401" i="61"/>
  <c r="A135" i="47"/>
  <c r="C305" i="61"/>
  <c r="C54" i="61"/>
  <c r="E138" i="61"/>
  <c r="C338" i="61"/>
  <c r="C190" i="61"/>
  <c r="E77" i="61"/>
  <c r="E347" i="61"/>
  <c r="A51" i="47"/>
  <c r="C165" i="61"/>
  <c r="C14" i="61"/>
  <c r="C470" i="61"/>
  <c r="C47" i="61"/>
  <c r="C474" i="61"/>
  <c r="E391" i="61"/>
  <c r="C157" i="61"/>
  <c r="A49" i="47"/>
  <c r="C90" i="61"/>
  <c r="C371" i="61"/>
  <c r="C431" i="61"/>
  <c r="E379" i="61"/>
  <c r="E217" i="61"/>
  <c r="E290" i="61"/>
  <c r="C254" i="61"/>
  <c r="E263" i="61"/>
  <c r="E375" i="61"/>
  <c r="E349" i="61"/>
  <c r="C490" i="61"/>
  <c r="C302" i="61"/>
  <c r="E322" i="61"/>
  <c r="A52" i="47"/>
  <c r="C169" i="61"/>
  <c r="A103" i="47"/>
  <c r="C421" i="61"/>
  <c r="E413" i="61"/>
  <c r="C99" i="61"/>
  <c r="C494" i="61"/>
  <c r="C143" i="61"/>
  <c r="C171" i="61"/>
  <c r="C446" i="61"/>
  <c r="E206" i="61"/>
  <c r="C130" i="61"/>
  <c r="E115" i="61"/>
  <c r="E346" i="61"/>
  <c r="C295" i="61"/>
  <c r="E333" i="61"/>
  <c r="E101" i="61"/>
  <c r="E21" i="61"/>
  <c r="C363" i="61"/>
  <c r="E294" i="61"/>
  <c r="E111" i="61"/>
  <c r="E7" i="61"/>
  <c r="E337" i="61"/>
  <c r="E161" i="61"/>
  <c r="E195" i="61"/>
  <c r="A21" i="47"/>
  <c r="C45" i="61"/>
  <c r="E59" i="61"/>
  <c r="C434" i="61"/>
  <c r="E29" i="61"/>
  <c r="C23" i="61"/>
  <c r="C515" i="61"/>
  <c r="C357" i="61"/>
  <c r="A89" i="47"/>
  <c r="E395" i="61"/>
  <c r="E219" i="61"/>
  <c r="E246" i="61"/>
  <c r="A54" i="47"/>
  <c r="C177" i="61"/>
  <c r="A134" i="47"/>
  <c r="C225" i="61"/>
  <c r="E214" i="61"/>
  <c r="C175" i="61"/>
  <c r="E13" i="61"/>
  <c r="E489" i="61"/>
  <c r="A20" i="47"/>
  <c r="G20" i="47" s="1"/>
  <c r="B20" i="47" s="1"/>
  <c r="C41" i="61"/>
  <c r="E41" i="61"/>
  <c r="E485" i="61"/>
  <c r="E506" i="61"/>
  <c r="C467" i="61"/>
  <c r="E482" i="61"/>
  <c r="E361" i="61"/>
  <c r="C255" i="61"/>
  <c r="E255" i="61"/>
  <c r="C234" i="61"/>
  <c r="C221" i="61"/>
  <c r="A85" i="47"/>
  <c r="G85" i="47" s="1"/>
  <c r="B85" i="47" s="1"/>
  <c r="E221" i="61"/>
  <c r="E297" i="61"/>
  <c r="A126" i="47"/>
  <c r="G126" i="47" s="1"/>
  <c r="B126" i="47" s="1"/>
  <c r="C461" i="61"/>
  <c r="C378" i="61"/>
  <c r="C238" i="61"/>
  <c r="E10" i="61"/>
  <c r="E505" i="61"/>
  <c r="C103" i="61"/>
  <c r="C139" i="61"/>
  <c r="E63" i="61"/>
  <c r="E374" i="61"/>
  <c r="E458" i="61"/>
  <c r="E181" i="61"/>
  <c r="A55" i="47"/>
  <c r="G55" i="47" s="1"/>
  <c r="B55" i="47" s="1"/>
  <c r="C181" i="61"/>
  <c r="E270" i="61"/>
  <c r="C275" i="61"/>
  <c r="E275" i="61"/>
  <c r="C498" i="61"/>
  <c r="C178" i="61"/>
  <c r="C158" i="61"/>
  <c r="E158" i="61"/>
  <c r="E435" i="61"/>
  <c r="E483" i="61"/>
  <c r="E397" i="61"/>
  <c r="C285" i="61"/>
  <c r="A120" i="47"/>
  <c r="E182" i="61"/>
  <c r="E454" i="61"/>
  <c r="E514" i="61"/>
  <c r="C329" i="61"/>
  <c r="A132" i="47"/>
  <c r="E329" i="61"/>
  <c r="E189" i="61"/>
  <c r="C189" i="61"/>
  <c r="A57" i="47"/>
  <c r="G57" i="47" s="1"/>
  <c r="B57" i="47" s="1"/>
  <c r="E202" i="61"/>
  <c r="C283" i="61"/>
  <c r="C78" i="61"/>
  <c r="C343" i="61"/>
  <c r="E443" i="61"/>
  <c r="E173" i="61"/>
  <c r="A53" i="47"/>
  <c r="G53" i="47" s="1"/>
  <c r="B53" i="47" s="1"/>
  <c r="C173" i="61"/>
  <c r="C179" i="61"/>
  <c r="E179" i="61"/>
  <c r="E38" i="61"/>
  <c r="C510" i="61"/>
  <c r="E469" i="61"/>
  <c r="C362" i="61"/>
  <c r="C42" i="61"/>
  <c r="E222" i="61"/>
  <c r="E351" i="61"/>
  <c r="A47" i="47"/>
  <c r="C149" i="61"/>
  <c r="E237" i="61"/>
  <c r="A82" i="47"/>
  <c r="C425" i="61"/>
  <c r="A39" i="47"/>
  <c r="C129" i="61"/>
  <c r="E207" i="61"/>
  <c r="E185" i="61"/>
  <c r="E102" i="61"/>
  <c r="E339" i="61"/>
  <c r="C259" i="61"/>
  <c r="C429" i="61"/>
  <c r="A84" i="47"/>
  <c r="C318" i="61"/>
  <c r="E122" i="61"/>
  <c r="A38" i="47"/>
  <c r="C113" i="61"/>
  <c r="E5" i="61"/>
  <c r="C503" i="61"/>
  <c r="C491" i="61"/>
  <c r="E126" i="61"/>
  <c r="C399" i="61"/>
  <c r="E398" i="61"/>
  <c r="E74" i="61"/>
  <c r="C382" i="61"/>
  <c r="E439" i="61"/>
  <c r="C170" i="61"/>
  <c r="C223" i="61"/>
  <c r="E94" i="61"/>
  <c r="E507" i="61"/>
  <c r="C381" i="61"/>
  <c r="A66" i="47"/>
  <c r="E87" i="61"/>
  <c r="C62" i="61"/>
  <c r="E155" i="61"/>
  <c r="C335" i="61"/>
  <c r="E210" i="61"/>
  <c r="C423" i="61"/>
  <c r="A24" i="47"/>
  <c r="G24" i="47" s="1"/>
  <c r="B24" i="47" s="1"/>
  <c r="C57" i="61"/>
  <c r="E383" i="61"/>
  <c r="E226" i="61"/>
  <c r="E55" i="61"/>
  <c r="C55" i="61"/>
  <c r="E25" i="61"/>
  <c r="E233" i="61"/>
  <c r="C119" i="61"/>
  <c r="E419" i="61"/>
  <c r="E81" i="61"/>
  <c r="E486" i="61"/>
  <c r="E142" i="61"/>
  <c r="E67" i="61"/>
  <c r="E91" i="61"/>
  <c r="C509" i="61"/>
  <c r="A96" i="47"/>
  <c r="G96" i="47" s="1"/>
  <c r="B96" i="47" s="1"/>
  <c r="E117" i="61"/>
  <c r="A41" i="47"/>
  <c r="C121" i="61"/>
  <c r="E417" i="61"/>
  <c r="E187" i="61"/>
  <c r="C273" i="61"/>
  <c r="A115" i="47"/>
  <c r="E321" i="61"/>
  <c r="C162" i="61"/>
  <c r="E406" i="61"/>
  <c r="E85" i="61"/>
  <c r="E277" i="61"/>
  <c r="C277" i="61"/>
  <c r="A114" i="47"/>
  <c r="E137" i="61"/>
  <c r="A46" i="47"/>
  <c r="C145" i="61"/>
  <c r="E34" i="61"/>
  <c r="E405" i="61"/>
  <c r="C97" i="61"/>
  <c r="A34" i="47"/>
  <c r="C282" i="61"/>
  <c r="A127" i="47"/>
  <c r="C281" i="61"/>
  <c r="E141" i="61"/>
  <c r="C310" i="61"/>
  <c r="E310" i="61"/>
  <c r="C355" i="61"/>
  <c r="E355" i="61"/>
  <c r="C415" i="61"/>
  <c r="E70" i="61"/>
  <c r="C70" i="61"/>
  <c r="E390" i="61"/>
  <c r="E174" i="61"/>
  <c r="A121" i="47"/>
  <c r="G121" i="47" s="1"/>
  <c r="B121" i="47" s="1"/>
  <c r="C265" i="61"/>
  <c r="E146" i="61"/>
  <c r="E151" i="61"/>
  <c r="E251" i="61"/>
  <c r="A129" i="47"/>
  <c r="C437" i="61"/>
  <c r="C478" i="61"/>
  <c r="E311" i="61"/>
  <c r="C95" i="61"/>
  <c r="E409" i="61"/>
  <c r="C418" i="61"/>
  <c r="E51" i="61"/>
  <c r="A80" i="47"/>
  <c r="C213" i="61"/>
  <c r="E287" i="61"/>
  <c r="E513" i="61"/>
  <c r="E183" i="61"/>
  <c r="E133" i="61"/>
  <c r="E462" i="61"/>
  <c r="C71" i="61"/>
  <c r="A58" i="47"/>
  <c r="C193" i="61"/>
  <c r="E18" i="61"/>
  <c r="E35" i="61"/>
  <c r="E501" i="61"/>
  <c r="E306" i="61"/>
  <c r="C477" i="61"/>
  <c r="A63" i="47"/>
  <c r="C451" i="61"/>
  <c r="C75" i="61"/>
  <c r="C367" i="61"/>
  <c r="E319" i="61"/>
  <c r="E89" i="61"/>
  <c r="E27" i="61"/>
  <c r="C455" i="61"/>
  <c r="C235" i="61"/>
  <c r="C82" i="61"/>
  <c r="E495" i="61"/>
  <c r="C453" i="61"/>
  <c r="A65" i="47"/>
  <c r="E279" i="61"/>
  <c r="E427" i="61"/>
  <c r="C286" i="61"/>
  <c r="E61" i="61"/>
  <c r="C19" i="61"/>
  <c r="E154" i="61"/>
  <c r="E466" i="61"/>
  <c r="E125" i="61"/>
  <c r="E307" i="61"/>
  <c r="E39" i="61"/>
  <c r="C403" i="61"/>
  <c r="E326" i="61"/>
  <c r="C354" i="61"/>
  <c r="E365" i="61"/>
  <c r="E447" i="61"/>
  <c r="C430" i="61"/>
  <c r="C463" i="61"/>
  <c r="C334" i="61"/>
  <c r="E317" i="61"/>
  <c r="E457" i="61"/>
  <c r="C301" i="61"/>
  <c r="A74" i="47"/>
  <c r="E199" i="61"/>
  <c r="C231" i="61"/>
  <c r="C243" i="61"/>
  <c r="C258" i="61"/>
  <c r="E194" i="61"/>
  <c r="A59" i="47"/>
  <c r="C197" i="61"/>
  <c r="E394" i="61"/>
  <c r="E218" i="61"/>
  <c r="A73" i="47"/>
  <c r="C293" i="61"/>
  <c r="E15" i="61"/>
  <c r="E11" i="61"/>
  <c r="E393" i="61"/>
  <c r="C205" i="61"/>
  <c r="A61" i="47"/>
  <c r="E401" i="61"/>
  <c r="E305" i="61"/>
  <c r="E314" i="61"/>
  <c r="E54" i="61"/>
  <c r="C459" i="61"/>
  <c r="C110" i="61"/>
  <c r="C138" i="61"/>
  <c r="E338" i="61"/>
  <c r="E190" i="61"/>
  <c r="A29" i="47"/>
  <c r="C77" i="61"/>
  <c r="E271" i="61"/>
  <c r="C73" i="61"/>
  <c r="A28" i="47"/>
  <c r="E134" i="61"/>
  <c r="C347" i="61"/>
  <c r="C325" i="61"/>
  <c r="A111" i="47"/>
  <c r="C426" i="61"/>
  <c r="E165" i="61"/>
  <c r="E14" i="61"/>
  <c r="E470" i="61"/>
  <c r="E47" i="61"/>
  <c r="E474" i="61"/>
  <c r="C391" i="61"/>
  <c r="E157" i="61"/>
  <c r="C267" i="61"/>
  <c r="E481" i="61"/>
  <c r="E30" i="61"/>
  <c r="E105" i="61"/>
  <c r="C211" i="61"/>
  <c r="E499" i="61"/>
  <c r="E479" i="61"/>
  <c r="E9" i="61"/>
  <c r="C31" i="61"/>
  <c r="C203" i="61"/>
  <c r="E90" i="61"/>
  <c r="E159" i="61"/>
  <c r="E371" i="61"/>
  <c r="E37" i="61"/>
  <c r="C387" i="61"/>
  <c r="E431" i="61"/>
  <c r="E422" i="61"/>
  <c r="C379" i="61"/>
  <c r="C217" i="61"/>
  <c r="A119" i="47"/>
  <c r="C290" i="61"/>
  <c r="E254" i="61"/>
  <c r="C263" i="61"/>
  <c r="C375" i="61"/>
  <c r="C349" i="61"/>
  <c r="A108" i="47"/>
  <c r="C109" i="61"/>
  <c r="A37" i="47"/>
  <c r="C106" i="61"/>
  <c r="E147" i="61"/>
  <c r="A128" i="47"/>
  <c r="C473" i="61"/>
  <c r="E490" i="61"/>
  <c r="E274" i="61"/>
  <c r="C198" i="61"/>
  <c r="E302" i="61"/>
  <c r="C26" i="61"/>
  <c r="C322" i="61"/>
  <c r="E169" i="61"/>
  <c r="E46" i="61"/>
  <c r="A133" i="47"/>
  <c r="C253" i="61"/>
  <c r="C309" i="61"/>
  <c r="A88" i="47"/>
  <c r="E402" i="61"/>
  <c r="E123" i="61"/>
  <c r="E377" i="61"/>
  <c r="E421" i="61"/>
  <c r="A70" i="47"/>
  <c r="C413" i="61"/>
  <c r="E99" i="61"/>
  <c r="E494" i="61"/>
  <c r="C114" i="61"/>
  <c r="E143" i="61"/>
  <c r="E250" i="61"/>
  <c r="E497" i="61"/>
  <c r="E171" i="61"/>
  <c r="E446" i="61"/>
  <c r="C206" i="61"/>
  <c r="E358" i="61"/>
  <c r="C438" i="61"/>
  <c r="E130" i="61"/>
  <c r="C115" i="61"/>
  <c r="E22" i="61"/>
  <c r="C346" i="61"/>
  <c r="E295" i="61"/>
  <c r="A62" i="47"/>
  <c r="C333" i="61"/>
  <c r="A35" i="47"/>
  <c r="C101" i="61"/>
  <c r="A15" i="47"/>
  <c r="C21" i="61"/>
  <c r="E363" i="61"/>
  <c r="C294" i="61"/>
  <c r="C111" i="61"/>
  <c r="C7" i="61"/>
  <c r="C337" i="61"/>
  <c r="A105" i="47"/>
  <c r="A50" i="47"/>
  <c r="C161" i="61"/>
  <c r="A136" i="47"/>
  <c r="C465" i="61"/>
  <c r="C186" i="61"/>
  <c r="E330" i="61"/>
  <c r="C163" i="61"/>
  <c r="C135" i="61"/>
  <c r="C370" i="61"/>
  <c r="C386" i="61"/>
  <c r="C49" i="61"/>
  <c r="A22" i="47"/>
  <c r="E127" i="61"/>
  <c r="C195" i="61"/>
  <c r="E45" i="61"/>
  <c r="C59" i="61"/>
  <c r="E434" i="61"/>
  <c r="C29" i="61"/>
  <c r="A17" i="47"/>
  <c r="C389" i="61"/>
  <c r="A137" i="47"/>
  <c r="E23" i="61"/>
  <c r="E515" i="61"/>
  <c r="E357" i="61"/>
  <c r="E502" i="61"/>
  <c r="E359" i="61"/>
  <c r="E449" i="61"/>
  <c r="C395" i="61"/>
  <c r="C219" i="61"/>
  <c r="C246" i="61"/>
  <c r="E177" i="61"/>
  <c r="E83" i="61"/>
  <c r="C239" i="61"/>
  <c r="E107" i="61"/>
  <c r="E410" i="61"/>
  <c r="C79" i="61"/>
  <c r="E241" i="61"/>
  <c r="E445" i="61"/>
  <c r="E225" i="61"/>
  <c r="C230" i="61"/>
  <c r="E269" i="61"/>
  <c r="C167" i="61"/>
  <c r="E53" i="61"/>
  <c r="A26" i="47"/>
  <c r="C65" i="61"/>
  <c r="C214" i="61"/>
  <c r="E175" i="61"/>
  <c r="C13" i="61"/>
  <c r="A13" i="47"/>
  <c r="C373" i="61"/>
  <c r="A106" i="47"/>
  <c r="C369" i="61"/>
  <c r="A110" i="47"/>
  <c r="C323" i="61"/>
  <c r="E247" i="61"/>
  <c r="E227" i="61"/>
  <c r="E441" i="61"/>
  <c r="E345" i="61"/>
  <c r="E257" i="61"/>
  <c r="A125" i="47"/>
  <c r="C249" i="61"/>
  <c r="A14" i="47"/>
  <c r="C17" i="61"/>
  <c r="E411" i="61"/>
  <c r="E153" i="61"/>
  <c r="E266" i="61"/>
  <c r="E407" i="61"/>
  <c r="E331" i="61"/>
  <c r="A118" i="47"/>
  <c r="C289" i="61"/>
  <c r="C487" i="61"/>
  <c r="C69" i="61"/>
  <c r="A27" i="47"/>
  <c r="C118" i="61"/>
  <c r="E350" i="61"/>
  <c r="C242" i="61"/>
  <c r="C191" i="61"/>
  <c r="C511" i="61"/>
  <c r="C291" i="61"/>
  <c r="E131" i="61"/>
  <c r="E66" i="61"/>
  <c r="E313" i="61"/>
  <c r="E342" i="61"/>
  <c r="C471" i="61"/>
  <c r="E475" i="61"/>
  <c r="E414" i="61"/>
  <c r="C6" i="61"/>
  <c r="C261" i="61"/>
  <c r="A77" i="47"/>
  <c r="E262" i="61"/>
  <c r="E278" i="61"/>
  <c r="E366" i="61"/>
  <c r="E303" i="61"/>
  <c r="E385" i="61"/>
  <c r="A102" i="47"/>
  <c r="C229" i="61"/>
  <c r="C93" i="61"/>
  <c r="A33" i="47"/>
  <c r="C245" i="61"/>
  <c r="A83" i="47"/>
  <c r="C341" i="61"/>
  <c r="A76" i="47"/>
  <c r="E166" i="61"/>
  <c r="C433" i="61"/>
  <c r="A99" i="47"/>
  <c r="E98" i="61"/>
  <c r="C353" i="61"/>
  <c r="A78" i="47"/>
  <c r="C43" i="61"/>
  <c r="C442" i="61"/>
  <c r="C493" i="61"/>
  <c r="A97" i="47"/>
  <c r="D485" i="61"/>
  <c r="D378" i="61"/>
  <c r="D238" i="61"/>
  <c r="C148" i="61"/>
  <c r="D10" i="61"/>
  <c r="AR68" i="47"/>
  <c r="E56" i="61"/>
  <c r="D374" i="61"/>
  <c r="D272" i="61"/>
  <c r="E55" i="47"/>
  <c r="D498" i="61"/>
  <c r="D285" i="61"/>
  <c r="D182" i="61"/>
  <c r="C432" i="61"/>
  <c r="D432" i="61"/>
  <c r="D454" i="61"/>
  <c r="D86" i="61"/>
  <c r="D329" i="61"/>
  <c r="E132" i="47"/>
  <c r="D189" i="61"/>
  <c r="E57" i="47"/>
  <c r="D510" i="61"/>
  <c r="E87" i="47"/>
  <c r="D42" i="61"/>
  <c r="C12" i="61"/>
  <c r="E12" i="61"/>
  <c r="E36" i="61"/>
  <c r="D222" i="61"/>
  <c r="D351" i="61"/>
  <c r="E420" i="61"/>
  <c r="D420" i="61"/>
  <c r="C420" i="61"/>
  <c r="AR95" i="47"/>
  <c r="E52" i="61"/>
  <c r="E56" i="47"/>
  <c r="E244" i="61"/>
  <c r="D276" i="61"/>
  <c r="E84" i="47"/>
  <c r="D113" i="61"/>
  <c r="E38" i="47"/>
  <c r="E11" i="47"/>
  <c r="E476" i="61"/>
  <c r="D476" i="61"/>
  <c r="C292" i="61"/>
  <c r="D74" i="61"/>
  <c r="E320" i="61"/>
  <c r="D94" i="61"/>
  <c r="D507" i="61"/>
  <c r="E72" i="61"/>
  <c r="D381" i="61"/>
  <c r="C456" i="61"/>
  <c r="D155" i="61"/>
  <c r="D372" i="61"/>
  <c r="D200" i="61"/>
  <c r="D383" i="61"/>
  <c r="D55" i="61"/>
  <c r="E16" i="47"/>
  <c r="D25" i="61"/>
  <c r="C412" i="61"/>
  <c r="D119" i="61"/>
  <c r="D315" i="61"/>
  <c r="D486" i="61"/>
  <c r="D512" i="61"/>
  <c r="D91" i="61"/>
  <c r="E96" i="47"/>
  <c r="D509" i="61"/>
  <c r="E40" i="47"/>
  <c r="D117" i="61"/>
  <c r="D121" i="61"/>
  <c r="D187" i="61"/>
  <c r="E69" i="47"/>
  <c r="E264" i="61"/>
  <c r="E114" i="47"/>
  <c r="D277" i="61"/>
  <c r="E44" i="47"/>
  <c r="D137" i="61"/>
  <c r="D145" i="61"/>
  <c r="AR46" i="47"/>
  <c r="D34" i="61"/>
  <c r="D405" i="61"/>
  <c r="AR127" i="47"/>
  <c r="E127" i="47"/>
  <c r="D141" i="61"/>
  <c r="D310" i="61"/>
  <c r="E18" i="47"/>
  <c r="C16" i="61"/>
  <c r="E348" i="61"/>
  <c r="C164" i="61"/>
  <c r="E104" i="61"/>
  <c r="D251" i="61"/>
  <c r="E129" i="47"/>
  <c r="D478" i="61"/>
  <c r="E28" i="61"/>
  <c r="D88" i="61"/>
  <c r="E88" i="61"/>
  <c r="AR80" i="47"/>
  <c r="D183" i="61"/>
  <c r="D133" i="61"/>
  <c r="E468" i="61"/>
  <c r="C468" i="61"/>
  <c r="D306" i="61"/>
  <c r="C268" i="61"/>
  <c r="D268" i="61"/>
  <c r="E63" i="47"/>
  <c r="E112" i="47"/>
  <c r="D365" i="61"/>
  <c r="E172" i="61"/>
  <c r="C192" i="61"/>
  <c r="D334" i="61"/>
  <c r="C504" i="61"/>
  <c r="D504" i="61"/>
  <c r="E504" i="61"/>
  <c r="D317" i="61"/>
  <c r="E117" i="47"/>
  <c r="E100" i="47"/>
  <c r="D301" i="61"/>
  <c r="D199" i="61"/>
  <c r="D243" i="61"/>
  <c r="D194" i="61"/>
  <c r="D197" i="61"/>
  <c r="D252" i="61"/>
  <c r="E396" i="61"/>
  <c r="D293" i="61"/>
  <c r="D11" i="61"/>
  <c r="D305" i="61"/>
  <c r="D314" i="61"/>
  <c r="D128" i="61"/>
  <c r="D138" i="61"/>
  <c r="C100" i="61"/>
  <c r="E100" i="61"/>
  <c r="D134" i="61"/>
  <c r="E111" i="47"/>
  <c r="D325" i="61"/>
  <c r="D165" i="61"/>
  <c r="D105" i="61"/>
  <c r="E36" i="47"/>
  <c r="D211" i="61"/>
  <c r="D499" i="61"/>
  <c r="D360" i="61"/>
  <c r="C480" i="61"/>
  <c r="E480" i="61"/>
  <c r="D159" i="61"/>
  <c r="D37" i="61"/>
  <c r="AR119" i="47"/>
  <c r="E280" i="61"/>
  <c r="AR108" i="47"/>
  <c r="E37" i="47"/>
  <c r="D109" i="61"/>
  <c r="D106" i="61"/>
  <c r="D147" i="61"/>
  <c r="E128" i="47"/>
  <c r="D473" i="61"/>
  <c r="D274" i="61"/>
  <c r="D60" i="61"/>
  <c r="E60" i="61"/>
  <c r="D46" i="61"/>
  <c r="E133" i="47"/>
  <c r="E88" i="47"/>
  <c r="D116" i="61"/>
  <c r="E116" i="61"/>
  <c r="C196" i="61"/>
  <c r="C296" i="61"/>
  <c r="D123" i="61"/>
  <c r="C228" i="61"/>
  <c r="AR104" i="47"/>
  <c r="D99" i="61"/>
  <c r="E68" i="61"/>
  <c r="D68" i="61"/>
  <c r="C220" i="61"/>
  <c r="E224" i="61"/>
  <c r="D368" i="61"/>
  <c r="C368" i="61"/>
  <c r="D446" i="61"/>
  <c r="D22" i="61"/>
  <c r="D346" i="61"/>
  <c r="C460" i="61"/>
  <c r="AR136" i="47"/>
  <c r="D186" i="61"/>
  <c r="C256" i="61"/>
  <c r="D256" i="61"/>
  <c r="D163" i="61"/>
  <c r="D370" i="61"/>
  <c r="D176" i="61"/>
  <c r="E176" i="61"/>
  <c r="D386" i="61"/>
  <c r="D49" i="61"/>
  <c r="D45" i="61"/>
  <c r="D434" i="61"/>
  <c r="D502" i="61"/>
  <c r="AR81" i="47"/>
  <c r="C496" i="61"/>
  <c r="E496" i="61"/>
  <c r="E48" i="61"/>
  <c r="C48" i="61"/>
  <c r="D79" i="61"/>
  <c r="D40" i="61"/>
  <c r="C40" i="61"/>
  <c r="D445" i="61"/>
  <c r="E67" i="47"/>
  <c r="D225" i="61"/>
  <c r="D269" i="61"/>
  <c r="E131" i="47"/>
  <c r="E23" i="47"/>
  <c r="D65" i="61"/>
  <c r="E106" i="47"/>
  <c r="AR106" i="47"/>
  <c r="E428" i="61"/>
  <c r="D369" i="61"/>
  <c r="E110" i="47"/>
  <c r="D323" i="61"/>
  <c r="D32" i="61"/>
  <c r="E32" i="61"/>
  <c r="C76" i="61"/>
  <c r="D441" i="61"/>
  <c r="AR72" i="47"/>
  <c r="E71" i="47"/>
  <c r="E130" i="47"/>
  <c r="AR130" i="47"/>
  <c r="D508" i="61"/>
  <c r="E508" i="61"/>
  <c r="D249" i="61"/>
  <c r="E492" i="61"/>
  <c r="E14" i="47"/>
  <c r="D248" i="61"/>
  <c r="D153" i="61"/>
  <c r="D356" i="61"/>
  <c r="E356" i="61"/>
  <c r="D407" i="61"/>
  <c r="E140" i="61"/>
  <c r="E44" i="61"/>
  <c r="C44" i="61"/>
  <c r="D44" i="61"/>
  <c r="C112" i="61"/>
  <c r="E160" i="61"/>
  <c r="D160" i="61"/>
  <c r="E118" i="47"/>
  <c r="D289" i="61"/>
  <c r="D487" i="61"/>
  <c r="D300" i="61"/>
  <c r="E448" i="61"/>
  <c r="E27" i="47"/>
  <c r="D118" i="61"/>
  <c r="D191" i="61"/>
  <c r="E332" i="61"/>
  <c r="D332" i="61"/>
  <c r="E308" i="61"/>
  <c r="C308" i="61"/>
  <c r="D66" i="61"/>
  <c r="E75" i="47"/>
  <c r="AR75" i="47"/>
  <c r="D342" i="61"/>
  <c r="E212" i="61"/>
  <c r="D212" i="61"/>
  <c r="C212" i="61"/>
  <c r="E488" i="61"/>
  <c r="E77" i="47"/>
  <c r="AR77" i="47"/>
  <c r="C96" i="61"/>
  <c r="E96" i="61"/>
  <c r="D278" i="61"/>
  <c r="D376" i="61"/>
  <c r="E376" i="61"/>
  <c r="E20" i="61"/>
  <c r="E236" i="61"/>
  <c r="D385" i="61"/>
  <c r="E122" i="47"/>
  <c r="AR102" i="47"/>
  <c r="D229" i="61"/>
  <c r="D216" i="61"/>
  <c r="D304" i="61"/>
  <c r="E304" i="61"/>
  <c r="AR33" i="47"/>
  <c r="E33" i="47"/>
  <c r="D245" i="61"/>
  <c r="AR83" i="47"/>
  <c r="D341" i="61"/>
  <c r="AR76" i="47"/>
  <c r="E76" i="47"/>
  <c r="D166" i="61"/>
  <c r="D98" i="61"/>
  <c r="D353" i="61"/>
  <c r="D43" i="61"/>
  <c r="D442" i="61"/>
  <c r="E97" i="47"/>
  <c r="D489" i="61"/>
  <c r="D506" i="61"/>
  <c r="D472" i="61"/>
  <c r="E472" i="61"/>
  <c r="D361" i="61"/>
  <c r="D255" i="61"/>
  <c r="D234" i="61"/>
  <c r="E85" i="47"/>
  <c r="D461" i="61"/>
  <c r="D56" i="61"/>
  <c r="D139" i="61"/>
  <c r="E340" i="61"/>
  <c r="D270" i="61"/>
  <c r="E180" i="61"/>
  <c r="D275" i="61"/>
  <c r="E60" i="47"/>
  <c r="D178" i="61"/>
  <c r="D435" i="61"/>
  <c r="D483" i="61"/>
  <c r="E120" i="47"/>
  <c r="C316" i="61"/>
  <c r="D316" i="61"/>
  <c r="D78" i="61"/>
  <c r="D343" i="61"/>
  <c r="E156" i="61"/>
  <c r="D156" i="61"/>
  <c r="D150" i="61"/>
  <c r="D443" i="61"/>
  <c r="D173" i="61"/>
  <c r="D179" i="61"/>
  <c r="E208" i="61"/>
  <c r="AR87" i="47"/>
  <c r="D362" i="61"/>
  <c r="D444" i="61"/>
  <c r="E82" i="47"/>
  <c r="E39" i="47"/>
  <c r="C52" i="61"/>
  <c r="D339" i="61"/>
  <c r="E440" i="61"/>
  <c r="C440" i="61"/>
  <c r="D259" i="61"/>
  <c r="E328" i="61"/>
  <c r="C328" i="61"/>
  <c r="C244" i="61"/>
  <c r="D188" i="61"/>
  <c r="C436" i="61"/>
  <c r="E276" i="61"/>
  <c r="AR84" i="47"/>
  <c r="C80" i="61"/>
  <c r="E80" i="61"/>
  <c r="D318" i="61"/>
  <c r="E124" i="61"/>
  <c r="C124" i="61"/>
  <c r="E416" i="61"/>
  <c r="D503" i="61"/>
  <c r="D398" i="61"/>
  <c r="D170" i="61"/>
  <c r="C320" i="61"/>
  <c r="C72" i="61"/>
  <c r="D335" i="61"/>
  <c r="C372" i="61"/>
  <c r="C200" i="61"/>
  <c r="E204" i="61"/>
  <c r="D210" i="61"/>
  <c r="E392" i="61"/>
  <c r="D392" i="61"/>
  <c r="D233" i="61"/>
  <c r="D419" i="61"/>
  <c r="E512" i="61"/>
  <c r="E41" i="47"/>
  <c r="AR124" i="47"/>
  <c r="D417" i="61"/>
  <c r="D273" i="61"/>
  <c r="AR115" i="47"/>
  <c r="D312" i="61"/>
  <c r="AR31" i="47"/>
  <c r="E34" i="47"/>
  <c r="D355" i="61"/>
  <c r="D33" i="61"/>
  <c r="D70" i="61"/>
  <c r="D16" i="61"/>
  <c r="E64" i="61"/>
  <c r="C64" i="61"/>
  <c r="E164" i="61"/>
  <c r="E344" i="61"/>
  <c r="D287" i="61"/>
  <c r="D18" i="61"/>
  <c r="D451" i="61"/>
  <c r="D75" i="61"/>
  <c r="AR32" i="47"/>
  <c r="E32" i="47"/>
  <c r="D89" i="61"/>
  <c r="D235" i="61"/>
  <c r="D453" i="61"/>
  <c r="D286" i="61"/>
  <c r="E25" i="47"/>
  <c r="D19" i="61"/>
  <c r="E42" i="47"/>
  <c r="E144" i="61"/>
  <c r="C144" i="61"/>
  <c r="E408" i="61"/>
  <c r="C408" i="61"/>
  <c r="D464" i="61"/>
  <c r="E464" i="61"/>
  <c r="E184" i="61"/>
  <c r="D184" i="61"/>
  <c r="D307" i="61"/>
  <c r="D39" i="61"/>
  <c r="E516" i="61"/>
  <c r="D516" i="61"/>
  <c r="D326" i="61"/>
  <c r="D457" i="61"/>
  <c r="E132" i="61"/>
  <c r="C132" i="61"/>
  <c r="D288" i="61"/>
  <c r="C288" i="61"/>
  <c r="D394" i="61"/>
  <c r="C396" i="61"/>
  <c r="D396" i="61"/>
  <c r="C500" i="61"/>
  <c r="E500" i="61"/>
  <c r="D218" i="61"/>
  <c r="D352" i="61"/>
  <c r="E73" i="47"/>
  <c r="D393" i="61"/>
  <c r="E61" i="47"/>
  <c r="E24" i="61"/>
  <c r="C24" i="61"/>
  <c r="E364" i="61"/>
  <c r="C364" i="61"/>
  <c r="E93" i="47"/>
  <c r="AR93" i="47"/>
  <c r="C168" i="61"/>
  <c r="E168" i="61"/>
  <c r="D8" i="61"/>
  <c r="E8" i="61"/>
  <c r="E128" i="61"/>
  <c r="D459" i="61"/>
  <c r="D110" i="61"/>
  <c r="D190" i="61"/>
  <c r="D347" i="61"/>
  <c r="D324" i="61"/>
  <c r="AR111" i="47"/>
  <c r="AR51" i="47"/>
  <c r="D14" i="61"/>
  <c r="D47" i="61"/>
  <c r="D474" i="61"/>
  <c r="AR49" i="47"/>
  <c r="E49" i="47"/>
  <c r="E120" i="61"/>
  <c r="E79" i="47"/>
  <c r="D9" i="61"/>
  <c r="D480" i="61"/>
  <c r="D371" i="61"/>
  <c r="AR19" i="47"/>
  <c r="D290" i="61"/>
  <c r="E284" i="61"/>
  <c r="D284" i="61"/>
  <c r="D108" i="61"/>
  <c r="C108" i="61"/>
  <c r="D254" i="61"/>
  <c r="D375" i="61"/>
  <c r="E108" i="47"/>
  <c r="D26" i="61"/>
  <c r="D322" i="61"/>
  <c r="E52" i="47"/>
  <c r="AR88" i="47"/>
  <c r="D196" i="61"/>
  <c r="D296" i="61"/>
  <c r="E104" i="47"/>
  <c r="E103" i="47"/>
  <c r="AR103" i="47"/>
  <c r="E70" i="47"/>
  <c r="D220" i="61"/>
  <c r="D143" i="61"/>
  <c r="D136" i="61"/>
  <c r="C336" i="61"/>
  <c r="E404" i="61"/>
  <c r="D250" i="61"/>
  <c r="D497" i="61"/>
  <c r="E113" i="47"/>
  <c r="E368" i="61"/>
  <c r="D206" i="61"/>
  <c r="D358" i="61"/>
  <c r="E380" i="61"/>
  <c r="D295" i="61"/>
  <c r="AR62" i="47"/>
  <c r="E62" i="47"/>
  <c r="E35" i="47"/>
  <c r="AR35" i="47"/>
  <c r="E15" i="47"/>
  <c r="D21" i="61"/>
  <c r="D294" i="61"/>
  <c r="C92" i="61"/>
  <c r="D7" i="61"/>
  <c r="D337" i="61"/>
  <c r="AR105" i="47"/>
  <c r="D161" i="61"/>
  <c r="D465" i="61"/>
  <c r="E22" i="47"/>
  <c r="D127" i="61"/>
  <c r="D59" i="61"/>
  <c r="AR17" i="47"/>
  <c r="E484" i="61"/>
  <c r="D23" i="61"/>
  <c r="E89" i="47"/>
  <c r="D395" i="61"/>
  <c r="D246" i="61"/>
  <c r="D388" i="61"/>
  <c r="C388" i="61"/>
  <c r="AR54" i="47"/>
  <c r="E54" i="47"/>
  <c r="D177" i="61"/>
  <c r="D452" i="61"/>
  <c r="E452" i="61"/>
  <c r="D260" i="61"/>
  <c r="D214" i="61"/>
  <c r="D13" i="61"/>
  <c r="E98" i="47"/>
  <c r="E20" i="47"/>
  <c r="D41" i="61"/>
  <c r="AR92" i="47"/>
  <c r="E92" i="47"/>
  <c r="D467" i="61"/>
  <c r="C472" i="61"/>
  <c r="D482" i="61"/>
  <c r="E116" i="47"/>
  <c r="D221" i="61"/>
  <c r="D297" i="61"/>
  <c r="E138" i="47"/>
  <c r="E126" i="47"/>
  <c r="E424" i="61"/>
  <c r="C424" i="61"/>
  <c r="D424" i="61"/>
  <c r="D148" i="61"/>
  <c r="E148" i="61"/>
  <c r="E68" i="47"/>
  <c r="D505" i="61"/>
  <c r="D103" i="61"/>
  <c r="C56" i="61"/>
  <c r="D63" i="61"/>
  <c r="D340" i="61"/>
  <c r="C340" i="61"/>
  <c r="D458" i="61"/>
  <c r="C272" i="61"/>
  <c r="E272" i="61"/>
  <c r="D181" i="61"/>
  <c r="D180" i="61"/>
  <c r="C180" i="61"/>
  <c r="D201" i="61"/>
  <c r="AR60" i="47"/>
  <c r="D298" i="61"/>
  <c r="D158" i="61"/>
  <c r="E107" i="47"/>
  <c r="D209" i="61"/>
  <c r="E86" i="47"/>
  <c r="D397" i="61"/>
  <c r="AR86" i="47"/>
  <c r="AR120" i="47"/>
  <c r="E432" i="61"/>
  <c r="D514" i="61"/>
  <c r="AR132" i="47"/>
  <c r="D327" i="61"/>
  <c r="E316" i="61"/>
  <c r="D202" i="61"/>
  <c r="D283" i="61"/>
  <c r="C156" i="61"/>
  <c r="E53" i="47"/>
  <c r="C208" i="61"/>
  <c r="D208" i="61"/>
  <c r="D38" i="61"/>
  <c r="D469" i="61"/>
  <c r="D12" i="61"/>
  <c r="C36" i="61"/>
  <c r="D36" i="61"/>
  <c r="D149" i="61"/>
  <c r="E47" i="47"/>
  <c r="D237" i="61"/>
  <c r="E95" i="47"/>
  <c r="C444" i="61"/>
  <c r="E444" i="61"/>
  <c r="D425" i="61"/>
  <c r="AR82" i="47"/>
  <c r="AR39" i="47"/>
  <c r="D129" i="61"/>
  <c r="D207" i="61"/>
  <c r="D52" i="61"/>
  <c r="D185" i="61"/>
  <c r="D102" i="61"/>
  <c r="D440" i="61"/>
  <c r="D328" i="61"/>
  <c r="D244" i="61"/>
  <c r="E188" i="61"/>
  <c r="C188" i="61"/>
  <c r="E436" i="61"/>
  <c r="D436" i="61"/>
  <c r="C276" i="61"/>
  <c r="D429" i="61"/>
  <c r="D80" i="61"/>
  <c r="D124" i="61"/>
  <c r="D122" i="61"/>
  <c r="AR38" i="47"/>
  <c r="AT11" i="47"/>
  <c r="AT9" i="47" s="1"/>
  <c r="AJ9" i="47" s="1"/>
  <c r="AU9" i="47"/>
  <c r="AJ8" i="47" s="1"/>
  <c r="D5" i="61"/>
  <c r="C416" i="61"/>
  <c r="D416" i="61"/>
  <c r="C476" i="61"/>
  <c r="E292" i="61"/>
  <c r="D292" i="61"/>
  <c r="D491" i="61"/>
  <c r="D126" i="61"/>
  <c r="D399" i="61"/>
  <c r="D450" i="61"/>
  <c r="D382" i="61"/>
  <c r="D439" i="61"/>
  <c r="D223" i="61"/>
  <c r="D320" i="61"/>
  <c r="C152" i="61"/>
  <c r="D152" i="61"/>
  <c r="E152" i="61"/>
  <c r="D72" i="61"/>
  <c r="D50" i="61"/>
  <c r="AR66" i="47"/>
  <c r="E66" i="47"/>
  <c r="D87" i="61"/>
  <c r="D62" i="61"/>
  <c r="E456" i="61"/>
  <c r="D456" i="61"/>
  <c r="E372" i="61"/>
  <c r="E200" i="61"/>
  <c r="C204" i="61"/>
  <c r="D204" i="61"/>
  <c r="D423" i="61"/>
  <c r="C392" i="61"/>
  <c r="D57" i="61"/>
  <c r="E24" i="47"/>
  <c r="D58" i="61"/>
  <c r="D226" i="61"/>
  <c r="AR16" i="47"/>
  <c r="E90" i="47"/>
  <c r="E412" i="61"/>
  <c r="D412" i="61"/>
  <c r="D81" i="61"/>
  <c r="E30" i="47"/>
  <c r="D142" i="61"/>
  <c r="C512" i="61"/>
  <c r="D67" i="61"/>
  <c r="AR40" i="47"/>
  <c r="AR41" i="47"/>
  <c r="E124" i="47"/>
  <c r="E115" i="47"/>
  <c r="D321" i="61"/>
  <c r="AR69" i="47"/>
  <c r="D162" i="61"/>
  <c r="E312" i="61"/>
  <c r="C312" i="61"/>
  <c r="D406" i="61"/>
  <c r="D264" i="61"/>
  <c r="C264" i="61"/>
  <c r="D85" i="61"/>
  <c r="E31" i="47"/>
  <c r="AR114" i="47"/>
  <c r="D215" i="61"/>
  <c r="AR44" i="47"/>
  <c r="E46" i="47"/>
  <c r="E94" i="47"/>
  <c r="AR94" i="47"/>
  <c r="D97" i="61"/>
  <c r="AR34" i="47"/>
  <c r="D282" i="61"/>
  <c r="D281" i="61"/>
  <c r="AR45" i="47"/>
  <c r="E45" i="47"/>
  <c r="AR18" i="47"/>
  <c r="D415" i="61"/>
  <c r="D390" i="61"/>
  <c r="E16" i="61"/>
  <c r="D299" i="61"/>
  <c r="D64" i="61"/>
  <c r="D174" i="61"/>
  <c r="D348" i="61"/>
  <c r="C348" i="61"/>
  <c r="D164" i="61"/>
  <c r="D265" i="61"/>
  <c r="E121" i="47"/>
  <c r="D104" i="61"/>
  <c r="C104" i="61"/>
  <c r="D146" i="61"/>
  <c r="D151" i="61"/>
  <c r="D437" i="61"/>
  <c r="AR129" i="47"/>
  <c r="C344" i="61"/>
  <c r="D344" i="61"/>
  <c r="D311" i="61"/>
  <c r="D95" i="61"/>
  <c r="E101" i="47"/>
  <c r="D409" i="61"/>
  <c r="D418" i="61"/>
  <c r="D51" i="61"/>
  <c r="D28" i="61"/>
  <c r="C28" i="61"/>
  <c r="C88" i="61"/>
  <c r="D213" i="61"/>
  <c r="E80" i="47"/>
  <c r="AR123" i="47"/>
  <c r="E123" i="47"/>
  <c r="D513" i="61"/>
  <c r="E43" i="47"/>
  <c r="D462" i="61"/>
  <c r="D71" i="61"/>
  <c r="D193" i="61"/>
  <c r="E58" i="47"/>
  <c r="AR58" i="47"/>
  <c r="D35" i="61"/>
  <c r="D501" i="61"/>
  <c r="E91" i="47"/>
  <c r="D468" i="61"/>
  <c r="E268" i="61"/>
  <c r="D477" i="61"/>
  <c r="AR63" i="47"/>
  <c r="D367" i="61"/>
  <c r="D319" i="61"/>
  <c r="D27" i="61"/>
  <c r="D455" i="61"/>
  <c r="D82" i="61"/>
  <c r="D495" i="61"/>
  <c r="E65" i="47"/>
  <c r="AR65" i="47"/>
  <c r="D279" i="61"/>
  <c r="D427" i="61"/>
  <c r="AR25" i="47"/>
  <c r="D61" i="61"/>
  <c r="D154" i="61"/>
  <c r="D466" i="61"/>
  <c r="D125" i="61"/>
  <c r="D144" i="61"/>
  <c r="D408" i="61"/>
  <c r="C464" i="61"/>
  <c r="C184" i="61"/>
  <c r="D403" i="61"/>
  <c r="C516" i="61"/>
  <c r="D354" i="61"/>
  <c r="AR112" i="47"/>
  <c r="D172" i="61"/>
  <c r="C172" i="61"/>
  <c r="D192" i="61"/>
  <c r="E192" i="61"/>
  <c r="D447" i="61"/>
  <c r="D430" i="61"/>
  <c r="D463" i="61"/>
  <c r="AR100" i="47"/>
  <c r="D132" i="61"/>
  <c r="E74" i="47"/>
  <c r="D231" i="61"/>
  <c r="D258" i="61"/>
  <c r="E59" i="47"/>
  <c r="AR59" i="47"/>
  <c r="E288" i="61"/>
  <c r="C252" i="61"/>
  <c r="E252" i="61"/>
  <c r="D500" i="61"/>
  <c r="C352" i="61"/>
  <c r="E352" i="61"/>
  <c r="AR73" i="47"/>
  <c r="D15" i="61"/>
  <c r="E109" i="47"/>
  <c r="AR109" i="47"/>
  <c r="AR61" i="47"/>
  <c r="D205" i="61"/>
  <c r="D24" i="61"/>
  <c r="D364" i="61"/>
  <c r="D401" i="61"/>
  <c r="D168" i="61"/>
  <c r="C8" i="61"/>
  <c r="AR135" i="47"/>
  <c r="E135" i="47"/>
  <c r="D54" i="61"/>
  <c r="C128" i="61"/>
  <c r="D338" i="61"/>
  <c r="D77" i="61"/>
  <c r="E29" i="47"/>
  <c r="D271" i="61"/>
  <c r="D100" i="61"/>
  <c r="D73" i="61"/>
  <c r="E28" i="47"/>
  <c r="AR28" i="47"/>
  <c r="C324" i="61"/>
  <c r="E324" i="61"/>
  <c r="D426" i="61"/>
  <c r="E51" i="47"/>
  <c r="D470" i="61"/>
  <c r="D391" i="61"/>
  <c r="D157" i="61"/>
  <c r="D267" i="61"/>
  <c r="D120" i="61"/>
  <c r="C120" i="61"/>
  <c r="AR79" i="47"/>
  <c r="D481" i="61"/>
  <c r="D30" i="61"/>
  <c r="D479" i="61"/>
  <c r="C360" i="61"/>
  <c r="E360" i="61"/>
  <c r="E12" i="47"/>
  <c r="AR12" i="47"/>
  <c r="D31" i="61"/>
  <c r="D203" i="61"/>
  <c r="D90" i="61"/>
  <c r="E19" i="47"/>
  <c r="D387" i="61"/>
  <c r="D431" i="61"/>
  <c r="D422" i="61"/>
  <c r="D379" i="61"/>
  <c r="E119" i="47"/>
  <c r="D217" i="61"/>
  <c r="C284" i="61"/>
  <c r="E108" i="61"/>
  <c r="C280" i="61"/>
  <c r="D280" i="61"/>
  <c r="D263" i="61"/>
  <c r="D349" i="61"/>
  <c r="AR37" i="47"/>
  <c r="AR128" i="47"/>
  <c r="D490" i="61"/>
  <c r="C60" i="61"/>
  <c r="D198" i="61"/>
  <c r="D302" i="61"/>
  <c r="D169" i="61"/>
  <c r="AR52" i="47"/>
  <c r="AR133" i="47"/>
  <c r="D253" i="61"/>
  <c r="D400" i="61"/>
  <c r="E400" i="61"/>
  <c r="C400" i="61"/>
  <c r="D309" i="61"/>
  <c r="C116" i="61"/>
  <c r="D402" i="61"/>
  <c r="E196" i="61"/>
  <c r="E296" i="61"/>
  <c r="D228" i="61"/>
  <c r="E228" i="61"/>
  <c r="D377" i="61"/>
  <c r="D421" i="61"/>
  <c r="D413" i="61"/>
  <c r="AR70" i="47"/>
  <c r="C68" i="61"/>
  <c r="E220" i="61"/>
  <c r="D494" i="61"/>
  <c r="D114" i="61"/>
  <c r="E136" i="61"/>
  <c r="C136" i="61"/>
  <c r="D336" i="61"/>
  <c r="E336" i="61"/>
  <c r="D404" i="61"/>
  <c r="C404" i="61"/>
  <c r="C224" i="61"/>
  <c r="D224" i="61"/>
  <c r="AR113" i="47"/>
  <c r="D171" i="61"/>
  <c r="D438" i="61"/>
  <c r="D130" i="61"/>
  <c r="D115" i="61"/>
  <c r="D380" i="61"/>
  <c r="C380" i="61"/>
  <c r="E460" i="61"/>
  <c r="D460" i="61"/>
  <c r="E384" i="61"/>
  <c r="C384" i="61"/>
  <c r="D384" i="61"/>
  <c r="D333" i="61"/>
  <c r="D101" i="61"/>
  <c r="AR15" i="47"/>
  <c r="D363" i="61"/>
  <c r="D111" i="61"/>
  <c r="E92" i="61"/>
  <c r="D92" i="61"/>
  <c r="E105" i="47"/>
  <c r="E50" i="47"/>
  <c r="AR50" i="47"/>
  <c r="E136" i="47"/>
  <c r="E256" i="61"/>
  <c r="D330" i="61"/>
  <c r="D135" i="61"/>
  <c r="C176" i="61"/>
  <c r="AR22" i="47"/>
  <c r="D195" i="61"/>
  <c r="E21" i="47"/>
  <c r="AR21" i="47"/>
  <c r="D29" i="61"/>
  <c r="E17" i="47"/>
  <c r="E137" i="47"/>
  <c r="AR137" i="47"/>
  <c r="D389" i="61"/>
  <c r="C484" i="61"/>
  <c r="D484" i="61"/>
  <c r="D515" i="61"/>
  <c r="D357" i="61"/>
  <c r="AR89" i="47"/>
  <c r="D359" i="61"/>
  <c r="E81" i="47"/>
  <c r="D449" i="61"/>
  <c r="D219" i="61"/>
  <c r="E388" i="61"/>
  <c r="D84" i="61"/>
  <c r="E84" i="61"/>
  <c r="C84" i="61"/>
  <c r="D83" i="61"/>
  <c r="D239" i="61"/>
  <c r="D107" i="61"/>
  <c r="D410" i="61"/>
  <c r="D496" i="61"/>
  <c r="D48" i="61"/>
  <c r="D241" i="61"/>
  <c r="E64" i="47"/>
  <c r="AR64" i="47"/>
  <c r="C452" i="61"/>
  <c r="E40" i="61"/>
  <c r="AR67" i="47"/>
  <c r="E260" i="61"/>
  <c r="C260" i="61"/>
  <c r="AR134" i="47"/>
  <c r="E134" i="47"/>
  <c r="D230" i="61"/>
  <c r="AR131" i="47"/>
  <c r="D167" i="61"/>
  <c r="D53" i="61"/>
  <c r="AR23" i="47"/>
  <c r="E26" i="47"/>
  <c r="AR26" i="47"/>
  <c r="D175" i="61"/>
  <c r="AR13" i="47"/>
  <c r="E13" i="47"/>
  <c r="D373" i="61"/>
  <c r="C428" i="61"/>
  <c r="D428" i="61"/>
  <c r="AR110" i="47"/>
  <c r="D247" i="61"/>
  <c r="C32" i="61"/>
  <c r="D76" i="61"/>
  <c r="E76" i="61"/>
  <c r="D232" i="61"/>
  <c r="C232" i="61"/>
  <c r="E232" i="61"/>
  <c r="D227" i="61"/>
  <c r="E72" i="47"/>
  <c r="AR71" i="47"/>
  <c r="D345" i="61"/>
  <c r="D257" i="61"/>
  <c r="C508" i="61"/>
  <c r="AR125" i="47"/>
  <c r="E125" i="47"/>
  <c r="C492" i="61"/>
  <c r="D492" i="61"/>
  <c r="D17" i="61"/>
  <c r="AR14" i="47"/>
  <c r="C248" i="61"/>
  <c r="E248" i="61"/>
  <c r="D411" i="61"/>
  <c r="AR48" i="47"/>
  <c r="E48" i="47"/>
  <c r="C356" i="61"/>
  <c r="D266" i="61"/>
  <c r="D331" i="61"/>
  <c r="D140" i="61"/>
  <c r="C140" i="61"/>
  <c r="E112" i="61"/>
  <c r="D112" i="61"/>
  <c r="C160" i="61"/>
  <c r="AR118" i="47"/>
  <c r="C240" i="61"/>
  <c r="E240" i="61"/>
  <c r="D240" i="61"/>
  <c r="C300" i="61"/>
  <c r="E300" i="61"/>
  <c r="D448" i="61"/>
  <c r="C448" i="61"/>
  <c r="AR27" i="47"/>
  <c r="D69" i="61"/>
  <c r="D350" i="61"/>
  <c r="D242" i="61"/>
  <c r="D511" i="61"/>
  <c r="D291" i="61"/>
  <c r="C332" i="61"/>
  <c r="D308" i="61"/>
  <c r="D131" i="61"/>
  <c r="D313" i="61"/>
  <c r="D471" i="61"/>
  <c r="D475" i="61"/>
  <c r="D414" i="61"/>
  <c r="D6" i="61"/>
  <c r="D488" i="61"/>
  <c r="C488" i="61"/>
  <c r="D261" i="61"/>
  <c r="D262" i="61"/>
  <c r="D96" i="61"/>
  <c r="D366" i="61"/>
  <c r="C376" i="61"/>
  <c r="C20" i="61"/>
  <c r="D20" i="61"/>
  <c r="D303" i="61"/>
  <c r="C236" i="61"/>
  <c r="D236" i="61"/>
  <c r="AR122" i="47"/>
  <c r="E102" i="47"/>
  <c r="C216" i="61"/>
  <c r="E216" i="61"/>
  <c r="C304" i="61"/>
  <c r="D93" i="61"/>
  <c r="E83" i="47"/>
  <c r="AR99" i="47"/>
  <c r="D433" i="61"/>
  <c r="E99" i="47"/>
  <c r="AR78" i="47"/>
  <c r="E78" i="47"/>
  <c r="D493" i="61"/>
  <c r="AR97" i="47"/>
  <c r="G47" i="47" l="1"/>
  <c r="B47" i="47" s="1"/>
  <c r="D47" i="47" s="1"/>
  <c r="G43" i="47"/>
  <c r="B43" i="47" s="1"/>
  <c r="D43" i="47" s="1"/>
  <c r="G56" i="47"/>
  <c r="B56" i="47" s="1"/>
  <c r="D56" i="47" s="1"/>
  <c r="G30" i="47"/>
  <c r="B30" i="47" s="1"/>
  <c r="C30" i="47" s="1"/>
  <c r="AM30" i="47" s="1"/>
  <c r="G138" i="47"/>
  <c r="B138" i="47" s="1"/>
  <c r="G74" i="47"/>
  <c r="B74" i="47" s="1"/>
  <c r="C74" i="47" s="1"/>
  <c r="AM74" i="47" s="1"/>
  <c r="G116" i="47"/>
  <c r="B116" i="47" s="1"/>
  <c r="G90" i="47"/>
  <c r="B90" i="47" s="1"/>
  <c r="C90" i="47" s="1"/>
  <c r="AM90" i="47" s="1"/>
  <c r="G101" i="47"/>
  <c r="B101" i="47" s="1"/>
  <c r="D101" i="47" s="1"/>
  <c r="G29" i="47"/>
  <c r="B29" i="47" s="1"/>
  <c r="D29" i="47" s="1"/>
  <c r="L1" i="112"/>
  <c r="S1" i="47"/>
  <c r="G1" i="61"/>
  <c r="G97" i="47"/>
  <c r="B97" i="47" s="1"/>
  <c r="G78" i="47"/>
  <c r="B78" i="47" s="1"/>
  <c r="G99" i="47"/>
  <c r="B99" i="47" s="1"/>
  <c r="G33" i="47"/>
  <c r="B33" i="47" s="1"/>
  <c r="G102" i="47"/>
  <c r="B102" i="47" s="1"/>
  <c r="G77" i="47"/>
  <c r="B77" i="47" s="1"/>
  <c r="G14" i="47"/>
  <c r="B14" i="47" s="1"/>
  <c r="G125" i="47"/>
  <c r="B125" i="47" s="1"/>
  <c r="G13" i="47"/>
  <c r="B13" i="47" s="1"/>
  <c r="G26" i="47"/>
  <c r="B26" i="47" s="1"/>
  <c r="G17" i="47"/>
  <c r="B17" i="47" s="1"/>
  <c r="G50" i="47"/>
  <c r="B50" i="47" s="1"/>
  <c r="G105" i="47"/>
  <c r="B105" i="47" s="1"/>
  <c r="G62" i="47"/>
  <c r="B62" i="47" s="1"/>
  <c r="G70" i="47"/>
  <c r="B70" i="47" s="1"/>
  <c r="G88" i="47"/>
  <c r="B88" i="47" s="1"/>
  <c r="G108" i="47"/>
  <c r="B108" i="47" s="1"/>
  <c r="G119" i="47"/>
  <c r="B119" i="47" s="1"/>
  <c r="G61" i="47"/>
  <c r="B61" i="47" s="1"/>
  <c r="G73" i="47"/>
  <c r="B73" i="47" s="1"/>
  <c r="D74" i="47"/>
  <c r="G63" i="47"/>
  <c r="B63" i="47" s="1"/>
  <c r="G58" i="47"/>
  <c r="B58" i="47" s="1"/>
  <c r="G80" i="47"/>
  <c r="B80" i="47" s="1"/>
  <c r="G129" i="47"/>
  <c r="B129" i="47" s="1"/>
  <c r="C121" i="47"/>
  <c r="AM121" i="47" s="1"/>
  <c r="D121" i="47"/>
  <c r="G127" i="47"/>
  <c r="B127" i="47" s="1"/>
  <c r="G34" i="47"/>
  <c r="B34" i="47" s="1"/>
  <c r="G46" i="47"/>
  <c r="B46" i="47" s="1"/>
  <c r="G114" i="47"/>
  <c r="B114" i="47" s="1"/>
  <c r="C96" i="47"/>
  <c r="AM96" i="47" s="1"/>
  <c r="D96" i="47"/>
  <c r="C24" i="47"/>
  <c r="AM24" i="47" s="1"/>
  <c r="D24" i="47"/>
  <c r="G39" i="47"/>
  <c r="B39" i="47" s="1"/>
  <c r="D53" i="47"/>
  <c r="C53" i="47"/>
  <c r="AM53" i="47" s="1"/>
  <c r="C57" i="47"/>
  <c r="AM57" i="47" s="1"/>
  <c r="D57" i="47"/>
  <c r="G120" i="47"/>
  <c r="B120" i="47" s="1"/>
  <c r="C126" i="47"/>
  <c r="AM126" i="47" s="1"/>
  <c r="D126" i="47"/>
  <c r="D85" i="47"/>
  <c r="C85" i="47"/>
  <c r="AM85" i="47" s="1"/>
  <c r="D20" i="47"/>
  <c r="C20" i="47"/>
  <c r="AM20" i="47" s="1"/>
  <c r="G54" i="47"/>
  <c r="B54" i="47" s="1"/>
  <c r="G21" i="47"/>
  <c r="B21" i="47" s="1"/>
  <c r="G49" i="47"/>
  <c r="B49" i="47" s="1"/>
  <c r="G51" i="47"/>
  <c r="B51" i="47" s="1"/>
  <c r="G93" i="47"/>
  <c r="B93" i="47" s="1"/>
  <c r="G112" i="47"/>
  <c r="B112" i="47" s="1"/>
  <c r="D42" i="47"/>
  <c r="C42" i="47"/>
  <c r="AM42" i="47" s="1"/>
  <c r="G25" i="47"/>
  <c r="B25" i="47" s="1"/>
  <c r="G94" i="47"/>
  <c r="B94" i="47" s="1"/>
  <c r="G69" i="47"/>
  <c r="B69" i="47" s="1"/>
  <c r="G124" i="47"/>
  <c r="B124" i="47" s="1"/>
  <c r="D30" i="47"/>
  <c r="D11" i="47"/>
  <c r="C11" i="47"/>
  <c r="AM11" i="47" s="1"/>
  <c r="G60" i="47"/>
  <c r="B60" i="47" s="1"/>
  <c r="D116" i="47"/>
  <c r="C116" i="47"/>
  <c r="AM116" i="47" s="1"/>
  <c r="C98" i="47"/>
  <c r="AM98" i="47" s="1"/>
  <c r="D98" i="47"/>
  <c r="G75" i="47"/>
  <c r="B75" i="47" s="1"/>
  <c r="G48" i="47"/>
  <c r="B48" i="47" s="1"/>
  <c r="G131" i="47"/>
  <c r="B131" i="47" s="1"/>
  <c r="G64" i="47"/>
  <c r="B64" i="47" s="1"/>
  <c r="G113" i="47"/>
  <c r="B113" i="47" s="1"/>
  <c r="G104" i="47"/>
  <c r="B104" i="47" s="1"/>
  <c r="G19" i="47"/>
  <c r="B19" i="47" s="1"/>
  <c r="G100" i="47"/>
  <c r="B100" i="47" s="1"/>
  <c r="C117" i="47"/>
  <c r="AM117" i="47" s="1"/>
  <c r="D117" i="47"/>
  <c r="G32" i="47"/>
  <c r="B32" i="47" s="1"/>
  <c r="G45" i="47"/>
  <c r="B45" i="47" s="1"/>
  <c r="G44" i="47"/>
  <c r="B44" i="47" s="1"/>
  <c r="G40" i="47"/>
  <c r="B40" i="47" s="1"/>
  <c r="D90" i="47"/>
  <c r="G95" i="47"/>
  <c r="B95" i="47" s="1"/>
  <c r="C138" i="47"/>
  <c r="AM138" i="47" s="1"/>
  <c r="D138" i="47"/>
  <c r="G76" i="47"/>
  <c r="B76" i="47" s="1"/>
  <c r="G83" i="47"/>
  <c r="B83" i="47" s="1"/>
  <c r="G27" i="47"/>
  <c r="B27" i="47" s="1"/>
  <c r="G118" i="47"/>
  <c r="B118" i="47" s="1"/>
  <c r="G110" i="47"/>
  <c r="B110" i="47" s="1"/>
  <c r="G106" i="47"/>
  <c r="B106" i="47" s="1"/>
  <c r="G137" i="47"/>
  <c r="B137" i="47" s="1"/>
  <c r="G22" i="47"/>
  <c r="B22" i="47" s="1"/>
  <c r="G136" i="47"/>
  <c r="B136" i="47" s="1"/>
  <c r="G15" i="47"/>
  <c r="B15" i="47" s="1"/>
  <c r="G35" i="47"/>
  <c r="B35" i="47" s="1"/>
  <c r="G133" i="47"/>
  <c r="B133" i="47" s="1"/>
  <c r="G128" i="47"/>
  <c r="B128" i="47" s="1"/>
  <c r="G37" i="47"/>
  <c r="B37" i="47" s="1"/>
  <c r="G111" i="47"/>
  <c r="B111" i="47" s="1"/>
  <c r="G28" i="47"/>
  <c r="B28" i="47" s="1"/>
  <c r="G59" i="47"/>
  <c r="B59" i="47" s="1"/>
  <c r="G65" i="47"/>
  <c r="B65" i="47" s="1"/>
  <c r="G115" i="47"/>
  <c r="B115" i="47" s="1"/>
  <c r="G41" i="47"/>
  <c r="B41" i="47" s="1"/>
  <c r="G66" i="47"/>
  <c r="B66" i="47" s="1"/>
  <c r="G38" i="47"/>
  <c r="B38" i="47" s="1"/>
  <c r="G84" i="47"/>
  <c r="B84" i="47" s="1"/>
  <c r="G82" i="47"/>
  <c r="B82" i="47" s="1"/>
  <c r="G132" i="47"/>
  <c r="B132" i="47" s="1"/>
  <c r="D55" i="47"/>
  <c r="C55" i="47"/>
  <c r="AM55" i="47" s="1"/>
  <c r="G134" i="47"/>
  <c r="B134" i="47" s="1"/>
  <c r="G89" i="47"/>
  <c r="B89" i="47" s="1"/>
  <c r="G103" i="47"/>
  <c r="B103" i="47" s="1"/>
  <c r="G52" i="47"/>
  <c r="B52" i="47" s="1"/>
  <c r="G135" i="47"/>
  <c r="B135" i="47" s="1"/>
  <c r="G109" i="47"/>
  <c r="B109" i="47" s="1"/>
  <c r="C91" i="47"/>
  <c r="AM91" i="47" s="1"/>
  <c r="D91" i="47"/>
  <c r="G123" i="47"/>
  <c r="B123" i="47" s="1"/>
  <c r="G86" i="47"/>
  <c r="B86" i="47" s="1"/>
  <c r="C107" i="47"/>
  <c r="AM107" i="47" s="1"/>
  <c r="D107" i="47"/>
  <c r="G122" i="47"/>
  <c r="B122" i="47" s="1"/>
  <c r="G130" i="47"/>
  <c r="B130" i="47" s="1"/>
  <c r="G71" i="47"/>
  <c r="B71" i="47" s="1"/>
  <c r="G72" i="47"/>
  <c r="B72" i="47" s="1"/>
  <c r="G23" i="47"/>
  <c r="B23" i="47" s="1"/>
  <c r="G67" i="47"/>
  <c r="B67" i="47" s="1"/>
  <c r="G81" i="47"/>
  <c r="B81" i="47" s="1"/>
  <c r="G12" i="47"/>
  <c r="B12" i="47" s="1"/>
  <c r="D36" i="47"/>
  <c r="C36" i="47"/>
  <c r="AM36" i="47" s="1"/>
  <c r="G79" i="47"/>
  <c r="B79" i="47" s="1"/>
  <c r="G18" i="47"/>
  <c r="B18" i="47" s="1"/>
  <c r="G31" i="47"/>
  <c r="B31" i="47" s="1"/>
  <c r="G16" i="47"/>
  <c r="B16" i="47" s="1"/>
  <c r="G87" i="47"/>
  <c r="B87" i="47" s="1"/>
  <c r="G68" i="47"/>
  <c r="B68" i="47" s="1"/>
  <c r="G92" i="47"/>
  <c r="B92" i="47" s="1"/>
  <c r="C43" i="47" l="1"/>
  <c r="AM43" i="47" s="1"/>
  <c r="C29" i="47"/>
  <c r="AM29" i="47" s="1"/>
  <c r="C101" i="47"/>
  <c r="AM101" i="47" s="1"/>
  <c r="C56" i="47"/>
  <c r="AM56" i="47" s="1"/>
  <c r="C47" i="47"/>
  <c r="AM47" i="47" s="1"/>
  <c r="D68" i="47"/>
  <c r="C68" i="47"/>
  <c r="AM68" i="47" s="1"/>
  <c r="D16" i="47"/>
  <c r="C16" i="47"/>
  <c r="AM16" i="47" s="1"/>
  <c r="D12" i="47"/>
  <c r="C12" i="47"/>
  <c r="AM12" i="47" s="1"/>
  <c r="C72" i="47"/>
  <c r="AM72" i="47" s="1"/>
  <c r="D72" i="47"/>
  <c r="C86" i="47"/>
  <c r="AM86" i="47" s="1"/>
  <c r="D86" i="47"/>
  <c r="C109" i="47"/>
  <c r="AM109" i="47" s="1"/>
  <c r="D109" i="47"/>
  <c r="C92" i="47"/>
  <c r="AM92" i="47" s="1"/>
  <c r="D92" i="47"/>
  <c r="D87" i="47"/>
  <c r="C87" i="47"/>
  <c r="AM87" i="47" s="1"/>
  <c r="C31" i="47"/>
  <c r="AM31" i="47" s="1"/>
  <c r="D31" i="47"/>
  <c r="C79" i="47"/>
  <c r="AM79" i="47" s="1"/>
  <c r="D79" i="47"/>
  <c r="C81" i="47"/>
  <c r="AM81" i="47" s="1"/>
  <c r="D81" i="47"/>
  <c r="D23" i="47"/>
  <c r="C23" i="47"/>
  <c r="AM23" i="47" s="1"/>
  <c r="C71" i="47"/>
  <c r="AM71" i="47" s="1"/>
  <c r="D71" i="47"/>
  <c r="D122" i="47"/>
  <c r="C122" i="47"/>
  <c r="AM122" i="47" s="1"/>
  <c r="D123" i="47"/>
  <c r="C123" i="47"/>
  <c r="AM123" i="47" s="1"/>
  <c r="D135" i="47"/>
  <c r="C135" i="47"/>
  <c r="AM135" i="47" s="1"/>
  <c r="C103" i="47"/>
  <c r="AM103" i="47" s="1"/>
  <c r="D103" i="47"/>
  <c r="D134" i="47"/>
  <c r="C134" i="47"/>
  <c r="AM134" i="47" s="1"/>
  <c r="C82" i="47"/>
  <c r="AM82" i="47" s="1"/>
  <c r="D82" i="47"/>
  <c r="C38" i="47"/>
  <c r="AM38" i="47" s="1"/>
  <c r="D38" i="47"/>
  <c r="C41" i="47"/>
  <c r="AM41" i="47" s="1"/>
  <c r="D41" i="47"/>
  <c r="D65" i="47"/>
  <c r="C65" i="47"/>
  <c r="AM65" i="47" s="1"/>
  <c r="C28" i="47"/>
  <c r="AM28" i="47" s="1"/>
  <c r="D28" i="47"/>
  <c r="C37" i="47"/>
  <c r="AM37" i="47" s="1"/>
  <c r="D37" i="47"/>
  <c r="D133" i="47"/>
  <c r="C133" i="47"/>
  <c r="AM133" i="47" s="1"/>
  <c r="C15" i="47"/>
  <c r="AM15" i="47" s="1"/>
  <c r="D15" i="47"/>
  <c r="C22" i="47"/>
  <c r="AM22" i="47" s="1"/>
  <c r="D22" i="47"/>
  <c r="C106" i="47"/>
  <c r="AM106" i="47" s="1"/>
  <c r="D106" i="47"/>
  <c r="C118" i="47"/>
  <c r="AM118" i="47" s="1"/>
  <c r="D118" i="47"/>
  <c r="C83" i="47"/>
  <c r="AM83" i="47" s="1"/>
  <c r="D83" i="47"/>
  <c r="D95" i="47"/>
  <c r="C95" i="47"/>
  <c r="AM95" i="47" s="1"/>
  <c r="C44" i="47"/>
  <c r="AM44" i="47" s="1"/>
  <c r="D44" i="47"/>
  <c r="C32" i="47"/>
  <c r="AM32" i="47" s="1"/>
  <c r="D32" i="47"/>
  <c r="C19" i="47"/>
  <c r="AM19" i="47" s="1"/>
  <c r="D19" i="47"/>
  <c r="C113" i="47"/>
  <c r="AM113" i="47" s="1"/>
  <c r="D113" i="47"/>
  <c r="C131" i="47"/>
  <c r="AM131" i="47" s="1"/>
  <c r="D131" i="47"/>
  <c r="D75" i="47"/>
  <c r="C75" i="47"/>
  <c r="AM75" i="47" s="1"/>
  <c r="C69" i="47"/>
  <c r="AM69" i="47" s="1"/>
  <c r="D69" i="47"/>
  <c r="D25" i="47"/>
  <c r="C25" i="47"/>
  <c r="AM25" i="47" s="1"/>
  <c r="C93" i="47"/>
  <c r="AM93" i="47" s="1"/>
  <c r="D93" i="47"/>
  <c r="C49" i="47"/>
  <c r="AM49" i="47" s="1"/>
  <c r="D49" i="47"/>
  <c r="C54" i="47"/>
  <c r="AM54" i="47" s="1"/>
  <c r="D54" i="47"/>
  <c r="C39" i="47"/>
  <c r="AM39" i="47" s="1"/>
  <c r="D39" i="47"/>
  <c r="C46" i="47"/>
  <c r="AM46" i="47" s="1"/>
  <c r="D46" i="47"/>
  <c r="C127" i="47"/>
  <c r="AM127" i="47" s="1"/>
  <c r="D127" i="47"/>
  <c r="C80" i="47"/>
  <c r="AM80" i="47" s="1"/>
  <c r="D80" i="47"/>
  <c r="C63" i="47"/>
  <c r="AM63" i="47" s="1"/>
  <c r="D63" i="47"/>
  <c r="C61" i="47"/>
  <c r="AM61" i="47" s="1"/>
  <c r="D61" i="47"/>
  <c r="C108" i="47"/>
  <c r="AM108" i="47" s="1"/>
  <c r="D108" i="47"/>
  <c r="C70" i="47"/>
  <c r="AM70" i="47" s="1"/>
  <c r="D70" i="47"/>
  <c r="C105" i="47"/>
  <c r="AM105" i="47" s="1"/>
  <c r="D105" i="47"/>
  <c r="C17" i="47"/>
  <c r="AM17" i="47" s="1"/>
  <c r="D17" i="47"/>
  <c r="C13" i="47"/>
  <c r="AM13" i="47" s="1"/>
  <c r="D13" i="47"/>
  <c r="C14" i="47"/>
  <c r="AM14" i="47" s="1"/>
  <c r="D14" i="47"/>
  <c r="C102" i="47"/>
  <c r="AM102" i="47" s="1"/>
  <c r="D102" i="47"/>
  <c r="C99" i="47"/>
  <c r="AM99" i="47" s="1"/>
  <c r="D99" i="47"/>
  <c r="D97" i="47"/>
  <c r="C97" i="47"/>
  <c r="AM97" i="47" s="1"/>
  <c r="D18" i="47"/>
  <c r="C18" i="47"/>
  <c r="AM18" i="47" s="1"/>
  <c r="C67" i="47"/>
  <c r="AM67" i="47" s="1"/>
  <c r="D67" i="47"/>
  <c r="D130" i="47"/>
  <c r="C130" i="47"/>
  <c r="AM130" i="47" s="1"/>
  <c r="C52" i="47"/>
  <c r="AM52" i="47" s="1"/>
  <c r="D52" i="47"/>
  <c r="C89" i="47"/>
  <c r="AM89" i="47" s="1"/>
  <c r="D89" i="47"/>
  <c r="C132" i="47"/>
  <c r="AM132" i="47" s="1"/>
  <c r="D132" i="47"/>
  <c r="D84" i="47"/>
  <c r="C84" i="47"/>
  <c r="AM84" i="47" s="1"/>
  <c r="C66" i="47"/>
  <c r="AM66" i="47" s="1"/>
  <c r="D66" i="47"/>
  <c r="C115" i="47"/>
  <c r="AM115" i="47" s="1"/>
  <c r="D115" i="47"/>
  <c r="C59" i="47"/>
  <c r="AM59" i="47" s="1"/>
  <c r="D59" i="47"/>
  <c r="C111" i="47"/>
  <c r="AM111" i="47" s="1"/>
  <c r="D111" i="47"/>
  <c r="D128" i="47"/>
  <c r="C128" i="47"/>
  <c r="AM128" i="47" s="1"/>
  <c r="D35" i="47"/>
  <c r="C35" i="47"/>
  <c r="AM35" i="47" s="1"/>
  <c r="C136" i="47"/>
  <c r="AM136" i="47" s="1"/>
  <c r="D136" i="47"/>
  <c r="C137" i="47"/>
  <c r="AM137" i="47" s="1"/>
  <c r="D137" i="47"/>
  <c r="C110" i="47"/>
  <c r="AM110" i="47" s="1"/>
  <c r="D110" i="47"/>
  <c r="C27" i="47"/>
  <c r="AM27" i="47" s="1"/>
  <c r="D27" i="47"/>
  <c r="C76" i="47"/>
  <c r="AM76" i="47" s="1"/>
  <c r="D76" i="47"/>
  <c r="D40" i="47"/>
  <c r="C40" i="47"/>
  <c r="AM40" i="47" s="1"/>
  <c r="C45" i="47"/>
  <c r="AM45" i="47" s="1"/>
  <c r="D45" i="47"/>
  <c r="C100" i="47"/>
  <c r="AM100" i="47" s="1"/>
  <c r="D100" i="47"/>
  <c r="C104" i="47"/>
  <c r="AM104" i="47" s="1"/>
  <c r="D104" i="47"/>
  <c r="C64" i="47"/>
  <c r="AM64" i="47" s="1"/>
  <c r="D64" i="47"/>
  <c r="C48" i="47"/>
  <c r="AM48" i="47" s="1"/>
  <c r="D48" i="47"/>
  <c r="C60" i="47"/>
  <c r="AM60" i="47" s="1"/>
  <c r="D60" i="47"/>
  <c r="K7" i="47"/>
  <c r="C124" i="47"/>
  <c r="AM124" i="47" s="1"/>
  <c r="D124" i="47"/>
  <c r="D94" i="47"/>
  <c r="C94" i="47"/>
  <c r="AM94" i="47" s="1"/>
  <c r="C112" i="47"/>
  <c r="AM112" i="47" s="1"/>
  <c r="D112" i="47"/>
  <c r="C51" i="47"/>
  <c r="AM51" i="47" s="1"/>
  <c r="D51" i="47"/>
  <c r="D21" i="47"/>
  <c r="C21" i="47"/>
  <c r="AM21" i="47" s="1"/>
  <c r="D120" i="47"/>
  <c r="C120" i="47"/>
  <c r="AM120" i="47" s="1"/>
  <c r="C114" i="47"/>
  <c r="AM114" i="47" s="1"/>
  <c r="D114" i="47"/>
  <c r="C34" i="47"/>
  <c r="AM34" i="47" s="1"/>
  <c r="D34" i="47"/>
  <c r="C129" i="47"/>
  <c r="AM129" i="47" s="1"/>
  <c r="D129" i="47"/>
  <c r="C58" i="47"/>
  <c r="AM58" i="47" s="1"/>
  <c r="D58" i="47"/>
  <c r="C73" i="47"/>
  <c r="AM73" i="47" s="1"/>
  <c r="D73" i="47"/>
  <c r="C119" i="47"/>
  <c r="AM119" i="47" s="1"/>
  <c r="D119" i="47"/>
  <c r="C88" i="47"/>
  <c r="AM88" i="47" s="1"/>
  <c r="D88" i="47"/>
  <c r="C62" i="47"/>
  <c r="AM62" i="47" s="1"/>
  <c r="D62" i="47"/>
  <c r="C50" i="47"/>
  <c r="AM50" i="47" s="1"/>
  <c r="D50" i="47"/>
  <c r="C26" i="47"/>
  <c r="AM26" i="47" s="1"/>
  <c r="D26" i="47"/>
  <c r="D125" i="47"/>
  <c r="C125" i="47"/>
  <c r="AM125" i="47" s="1"/>
  <c r="C77" i="47"/>
  <c r="AM77" i="47" s="1"/>
  <c r="D77" i="47"/>
  <c r="C33" i="47"/>
  <c r="AM33" i="47" s="1"/>
  <c r="D33" i="47"/>
  <c r="C78" i="47"/>
  <c r="AM78" i="47" s="1"/>
  <c r="D78" i="47"/>
  <c r="A71" i="128" l="1"/>
  <c r="C74" i="128"/>
  <c r="A63" i="128"/>
  <c r="AL72" i="47"/>
  <c r="AL80" i="47"/>
  <c r="C80" i="128"/>
  <c r="AL56" i="47"/>
  <c r="C66" i="128"/>
  <c r="AL92" i="47"/>
  <c r="AL20" i="47"/>
  <c r="C12" i="128" s="1"/>
  <c r="A55" i="128"/>
  <c r="AL116" i="47"/>
  <c r="A19" i="128"/>
  <c r="AL46" i="47"/>
  <c r="C38" i="128" s="1"/>
  <c r="C130" i="128"/>
  <c r="AL44" i="47"/>
  <c r="C36" i="128" s="1"/>
  <c r="A128" i="128"/>
  <c r="A103" i="128"/>
  <c r="AL100" i="47"/>
  <c r="C103" i="128"/>
  <c r="C121" i="128"/>
  <c r="A12" i="128"/>
  <c r="A33" i="128"/>
  <c r="AL96" i="47"/>
  <c r="A7" i="128"/>
  <c r="AL31" i="47"/>
  <c r="C23" i="128" s="1"/>
  <c r="C125" i="128"/>
  <c r="A83" i="128"/>
  <c r="A26" i="128"/>
  <c r="A15" i="128"/>
  <c r="A115" i="128"/>
  <c r="C68" i="128"/>
  <c r="AL71" i="47"/>
  <c r="C105" i="128"/>
  <c r="AL42" i="47"/>
  <c r="A37" i="128"/>
  <c r="AL76" i="47"/>
  <c r="C81" i="128"/>
  <c r="A69" i="128"/>
  <c r="C62" i="128"/>
  <c r="AL60" i="47"/>
  <c r="C52" i="128" s="1"/>
  <c r="A42" i="128"/>
  <c r="C115" i="128"/>
  <c r="A75" i="128"/>
  <c r="A87" i="128"/>
  <c r="N7" i="47"/>
  <c r="AL51" i="47"/>
  <c r="A6" i="128"/>
  <c r="C101" i="128"/>
  <c r="A50" i="128"/>
  <c r="A118" i="128"/>
  <c r="AL110" i="47"/>
  <c r="A53" i="128"/>
  <c r="AL50" i="47"/>
  <c r="C42" i="128" s="1"/>
  <c r="A85" i="128"/>
  <c r="A16" i="128"/>
  <c r="AL90" i="47"/>
  <c r="A99" i="128"/>
  <c r="AL17" i="47"/>
  <c r="C9" i="128" s="1"/>
  <c r="A104" i="128"/>
  <c r="A70" i="128"/>
  <c r="AL66" i="47"/>
  <c r="C94" i="128"/>
  <c r="A41" i="128"/>
  <c r="AL16" i="47"/>
  <c r="C8" i="128" s="1"/>
  <c r="A78" i="128"/>
  <c r="AL62" i="47"/>
  <c r="AL61" i="47"/>
  <c r="AL43" i="47"/>
  <c r="A43" i="128"/>
  <c r="A34" i="128"/>
  <c r="A56" i="128"/>
  <c r="A46" i="128"/>
  <c r="AL38" i="47"/>
  <c r="C30" i="128" s="1"/>
  <c r="A86" i="128"/>
  <c r="N6" i="47"/>
  <c r="O7" i="47" s="1"/>
  <c r="C111" i="128"/>
  <c r="A14" i="128"/>
  <c r="C119" i="128"/>
  <c r="A106" i="128"/>
  <c r="AL25" i="47"/>
  <c r="C17" i="128" s="1"/>
  <c r="C43" i="128"/>
  <c r="A66" i="128"/>
  <c r="C126" i="128"/>
  <c r="A28" i="128"/>
  <c r="AL129" i="47"/>
  <c r="AL127" i="47"/>
  <c r="A29" i="128"/>
  <c r="A88" i="128"/>
  <c r="C71" i="128"/>
  <c r="AL101" i="47"/>
  <c r="AL133" i="47"/>
  <c r="AL87" i="47"/>
  <c r="AV9" i="47"/>
  <c r="A45" i="128"/>
  <c r="C77" i="128"/>
  <c r="A59" i="128"/>
  <c r="C59" i="128"/>
  <c r="AL82" i="47"/>
  <c r="C90" i="128"/>
  <c r="AL79" i="47"/>
  <c r="AL106" i="47"/>
  <c r="A25" i="128"/>
  <c r="C84" i="128"/>
  <c r="A123" i="128"/>
  <c r="AL107" i="47"/>
  <c r="C54" i="128" s="1"/>
  <c r="C113" i="128"/>
  <c r="C76" i="128"/>
  <c r="A129" i="128"/>
  <c r="AL12" i="47"/>
  <c r="C4" i="128" s="1"/>
  <c r="A47" i="128"/>
  <c r="C95" i="128"/>
  <c r="AL40" i="47"/>
  <c r="C98" i="128"/>
  <c r="C107" i="128"/>
  <c r="C83" i="128"/>
  <c r="AL111" i="47"/>
  <c r="A100" i="128"/>
  <c r="AL21" i="47"/>
  <c r="C13" i="128" s="1"/>
  <c r="A62" i="128"/>
  <c r="AL103" i="47"/>
  <c r="AL85" i="47"/>
  <c r="C109" i="128"/>
  <c r="A8" i="128"/>
  <c r="A116" i="128"/>
  <c r="C69" i="128"/>
  <c r="A5" i="128"/>
  <c r="AL75" i="47"/>
  <c r="AL118" i="47"/>
  <c r="C112" i="128"/>
  <c r="G2" i="61"/>
  <c r="AL32" i="47"/>
  <c r="C24" i="128" s="1"/>
  <c r="AL30" i="47"/>
  <c r="C22" i="128" s="1"/>
  <c r="C67" i="128"/>
  <c r="A98" i="128"/>
  <c r="C85" i="128"/>
  <c r="A32" i="128"/>
  <c r="A113" i="128"/>
  <c r="A109" i="128"/>
  <c r="AL65" i="47"/>
  <c r="C88" i="128"/>
  <c r="AL136" i="47"/>
  <c r="A76" i="128"/>
  <c r="AL24" i="47"/>
  <c r="C16" i="128" s="1"/>
  <c r="AL117" i="47"/>
  <c r="A18" i="128"/>
  <c r="A105" i="128"/>
  <c r="AL73" i="47"/>
  <c r="A4" i="128"/>
  <c r="AL11" i="47"/>
  <c r="C3" i="128" s="1"/>
  <c r="C58" i="128"/>
  <c r="AL57" i="47"/>
  <c r="C49" i="128" s="1"/>
  <c r="AL132" i="47"/>
  <c r="AL99" i="47"/>
  <c r="AL138" i="47"/>
  <c r="AL126" i="47"/>
  <c r="A11" i="128"/>
  <c r="A44" i="128"/>
  <c r="AL115" i="47"/>
  <c r="C104" i="128"/>
  <c r="A3" i="128"/>
  <c r="AL77" i="47"/>
  <c r="AL23" i="47"/>
  <c r="C15" i="128" s="1"/>
  <c r="A54" i="128"/>
  <c r="A39" i="128"/>
  <c r="C110" i="128"/>
  <c r="A13" i="128"/>
  <c r="C123" i="128"/>
  <c r="A49" i="128"/>
  <c r="AL113" i="47"/>
  <c r="C35" i="128"/>
  <c r="A122" i="128"/>
  <c r="C82" i="128"/>
  <c r="A114" i="128"/>
  <c r="A79" i="128"/>
  <c r="A97" i="128"/>
  <c r="C128" i="128"/>
  <c r="A102" i="128"/>
  <c r="C73" i="128"/>
  <c r="AL48" i="47"/>
  <c r="C40" i="128" s="1"/>
  <c r="C124" i="128"/>
  <c r="A73" i="128"/>
  <c r="AL131" i="47"/>
  <c r="C61" i="128"/>
  <c r="A130" i="128"/>
  <c r="A110" i="128"/>
  <c r="AL95" i="47"/>
  <c r="AL74" i="47"/>
  <c r="A61" i="128"/>
  <c r="A124" i="128"/>
  <c r="A112" i="128"/>
  <c r="AL104" i="47"/>
  <c r="AL108" i="47"/>
  <c r="AL53" i="47"/>
  <c r="C45" i="128" s="1"/>
  <c r="C56" i="128"/>
  <c r="A20" i="128"/>
  <c r="C102" i="128"/>
  <c r="C106" i="128"/>
  <c r="AL98" i="47"/>
  <c r="AL134" i="47"/>
  <c r="A21" i="128"/>
  <c r="AL89" i="47"/>
  <c r="AL93" i="47"/>
  <c r="A35" i="128"/>
  <c r="C89" i="128"/>
  <c r="A125" i="128"/>
  <c r="C48" i="128"/>
  <c r="AL63" i="47"/>
  <c r="A81" i="128"/>
  <c r="AL37" i="47"/>
  <c r="C29" i="128" s="1"/>
  <c r="A23" i="128"/>
  <c r="AL26" i="47"/>
  <c r="C18" i="128" s="1"/>
  <c r="AL33" i="47"/>
  <c r="C25" i="128" s="1"/>
  <c r="A57" i="128"/>
  <c r="AL109" i="47"/>
  <c r="AL122" i="47"/>
  <c r="C53" i="128"/>
  <c r="C79" i="128"/>
  <c r="A96" i="128"/>
  <c r="A117" i="128"/>
  <c r="AL123" i="47"/>
  <c r="AL64" i="47"/>
  <c r="C117" i="128"/>
  <c r="C127" i="128"/>
  <c r="A36" i="128"/>
  <c r="A72" i="128"/>
  <c r="C75" i="128"/>
  <c r="AL102" i="47"/>
  <c r="C93" i="128"/>
  <c r="AL97" i="47"/>
  <c r="C108" i="128"/>
  <c r="AL59" i="47"/>
  <c r="C51" i="128" s="1"/>
  <c r="A48" i="128"/>
  <c r="AL39" i="47"/>
  <c r="C64" i="128"/>
  <c r="AL69" i="47"/>
  <c r="C116" i="128"/>
  <c r="AL112" i="47"/>
  <c r="C65" i="128"/>
  <c r="C57" i="128"/>
  <c r="AL94" i="47"/>
  <c r="A89" i="128"/>
  <c r="AL15" i="47"/>
  <c r="C7" i="128" s="1"/>
  <c r="A95" i="128"/>
  <c r="C78" i="128"/>
  <c r="AL119" i="47"/>
  <c r="A68" i="128"/>
  <c r="A127" i="128"/>
  <c r="AL125" i="47"/>
  <c r="A93" i="128"/>
  <c r="AL27" i="47"/>
  <c r="C19" i="128" s="1"/>
  <c r="AL70" i="47"/>
  <c r="AL35" i="47"/>
  <c r="C27" i="128" s="1"/>
  <c r="A52" i="128"/>
  <c r="AL67" i="47"/>
  <c r="A22" i="128"/>
  <c r="AL52" i="47"/>
  <c r="C44" i="128" s="1"/>
  <c r="C122" i="128"/>
  <c r="AL36" i="47"/>
  <c r="C28" i="128" s="1"/>
  <c r="A94" i="128"/>
  <c r="C92" i="128"/>
  <c r="A30" i="128"/>
  <c r="A107" i="128"/>
  <c r="AL86" i="47"/>
  <c r="AL84" i="47"/>
  <c r="A51" i="128"/>
  <c r="C114" i="128"/>
  <c r="AL47" i="47"/>
  <c r="C39" i="128" s="1"/>
  <c r="A77" i="128"/>
  <c r="A31" i="128"/>
  <c r="A126" i="128"/>
  <c r="C97" i="128"/>
  <c r="C129" i="128"/>
  <c r="A24" i="128"/>
  <c r="A64" i="128"/>
  <c r="AL91" i="47"/>
  <c r="AL41" i="47"/>
  <c r="A40" i="128"/>
  <c r="C63" i="128"/>
  <c r="A84" i="128"/>
  <c r="A82" i="128"/>
  <c r="A17" i="128"/>
  <c r="AL130" i="47"/>
  <c r="AL22" i="47"/>
  <c r="C14" i="128" s="1"/>
  <c r="C99" i="128"/>
  <c r="A101" i="128"/>
  <c r="C70" i="128"/>
  <c r="A91" i="128"/>
  <c r="C118" i="128"/>
  <c r="A65" i="128"/>
  <c r="AL55" i="47"/>
  <c r="C47" i="128" s="1"/>
  <c r="A80" i="128"/>
  <c r="AL45" i="47"/>
  <c r="C37" i="128" s="1"/>
  <c r="AL128" i="47"/>
  <c r="AL68" i="47"/>
  <c r="A119" i="128"/>
  <c r="C72" i="128"/>
  <c r="AL29" i="47"/>
  <c r="C21" i="128" s="1"/>
  <c r="AL54" i="47"/>
  <c r="C46" i="128" s="1"/>
  <c r="AL88" i="47"/>
  <c r="A60" i="128"/>
  <c r="I3" i="112"/>
  <c r="AL78" i="47"/>
  <c r="A121" i="128"/>
  <c r="A67" i="128"/>
  <c r="A10" i="128"/>
  <c r="AL81" i="47"/>
  <c r="A74" i="128"/>
  <c r="C60" i="128"/>
  <c r="A120" i="128"/>
  <c r="A111" i="128"/>
  <c r="AL14" i="47"/>
  <c r="C6" i="128" s="1"/>
  <c r="AL114" i="47"/>
  <c r="AL34" i="47"/>
  <c r="C26" i="128" s="1"/>
  <c r="C87" i="128"/>
  <c r="C100" i="128"/>
  <c r="A92" i="128"/>
  <c r="C86" i="128"/>
  <c r="A38" i="128"/>
  <c r="AL28" i="47"/>
  <c r="C20" i="128" s="1"/>
  <c r="C96" i="128"/>
  <c r="A90" i="128"/>
  <c r="C55" i="128"/>
  <c r="AL49" i="47"/>
  <c r="C41" i="128" s="1"/>
  <c r="AL120" i="47"/>
  <c r="AL137" i="47"/>
  <c r="AL13" i="47"/>
  <c r="C5" i="128" s="1"/>
  <c r="C120" i="128"/>
  <c r="AL83" i="47"/>
  <c r="AL18" i="47"/>
  <c r="C10" i="128" s="1"/>
  <c r="A27" i="128"/>
  <c r="F3" i="111"/>
  <c r="C91" i="128"/>
  <c r="AL135" i="47"/>
  <c r="A108" i="128"/>
  <c r="AL121" i="47"/>
  <c r="AL124" i="47"/>
  <c r="AL19" i="47"/>
  <c r="C11" i="128" s="1"/>
  <c r="AL105" i="47"/>
  <c r="AL58" i="47"/>
  <c r="C50" i="128" s="1"/>
  <c r="A9" i="128"/>
  <c r="A58" i="128"/>
  <c r="N2" i="47"/>
  <c r="C32" i="128" l="1"/>
  <c r="C34" i="128"/>
  <c r="C33" i="128"/>
  <c r="C31" i="128"/>
  <c r="G19" i="122"/>
  <c r="G15" i="122"/>
  <c r="B9" i="128"/>
  <c r="A9" i="131"/>
  <c r="D9" i="128"/>
  <c r="D4" i="111"/>
  <c r="D7" i="111"/>
  <c r="D5" i="111"/>
  <c r="D6" i="111"/>
  <c r="D8" i="111"/>
  <c r="D74" i="128"/>
  <c r="A74" i="131"/>
  <c r="B74" i="128"/>
  <c r="E74" i="128"/>
  <c r="E121" i="128"/>
  <c r="D121" i="128"/>
  <c r="B121" i="128"/>
  <c r="A121" i="131"/>
  <c r="F158" i="112"/>
  <c r="F108" i="112"/>
  <c r="F187" i="112"/>
  <c r="F177" i="112"/>
  <c r="J186" i="112"/>
  <c r="J12" i="112"/>
  <c r="J179" i="112"/>
  <c r="J105" i="112"/>
  <c r="J125" i="112"/>
  <c r="J191" i="112"/>
  <c r="J222" i="112"/>
  <c r="F86" i="112"/>
  <c r="J203" i="112"/>
  <c r="F96" i="112"/>
  <c r="J199" i="112"/>
  <c r="J109" i="112"/>
  <c r="F74" i="112"/>
  <c r="J206" i="112"/>
  <c r="J47" i="112"/>
  <c r="J235" i="112"/>
  <c r="J75" i="112"/>
  <c r="J142" i="112"/>
  <c r="F215" i="112"/>
  <c r="J100" i="112"/>
  <c r="F167" i="112"/>
  <c r="J132" i="112"/>
  <c r="J131" i="112"/>
  <c r="J48" i="112"/>
  <c r="F132" i="112"/>
  <c r="F221" i="112"/>
  <c r="F235" i="112"/>
  <c r="J22" i="112"/>
  <c r="J73" i="112"/>
  <c r="J31" i="112"/>
  <c r="J54" i="112"/>
  <c r="F249" i="112"/>
  <c r="J183" i="112"/>
  <c r="F180" i="112"/>
  <c r="J78" i="112"/>
  <c r="F172" i="112"/>
  <c r="F224" i="112"/>
  <c r="J40" i="112"/>
  <c r="J116" i="112"/>
  <c r="F186" i="112"/>
  <c r="F67" i="112"/>
  <c r="F200" i="112"/>
  <c r="J11" i="112"/>
  <c r="J158" i="112"/>
  <c r="F236" i="112"/>
  <c r="J163" i="112"/>
  <c r="J160" i="112"/>
  <c r="J259" i="112"/>
  <c r="J137" i="112"/>
  <c r="F78" i="112"/>
  <c r="J85" i="112"/>
  <c r="F213" i="112"/>
  <c r="J59" i="112"/>
  <c r="J127" i="112"/>
  <c r="F208" i="112"/>
  <c r="J215" i="112"/>
  <c r="J61" i="112"/>
  <c r="F190" i="112"/>
  <c r="F226" i="112"/>
  <c r="F113" i="112"/>
  <c r="J45" i="112"/>
  <c r="J33" i="112"/>
  <c r="J168" i="112"/>
  <c r="J99" i="112"/>
  <c r="F255" i="112"/>
  <c r="F82" i="112"/>
  <c r="F202" i="112"/>
  <c r="F135" i="112"/>
  <c r="J16" i="112"/>
  <c r="J155" i="112"/>
  <c r="F179" i="112"/>
  <c r="J157" i="112"/>
  <c r="J190" i="112"/>
  <c r="J198" i="112"/>
  <c r="J117" i="112"/>
  <c r="F192" i="112"/>
  <c r="F170" i="112"/>
  <c r="J201" i="112"/>
  <c r="J30" i="112"/>
  <c r="J57" i="112"/>
  <c r="F250" i="112"/>
  <c r="F130" i="112"/>
  <c r="J173" i="112"/>
  <c r="F65" i="112"/>
  <c r="F140" i="112"/>
  <c r="J84" i="112"/>
  <c r="J112" i="112"/>
  <c r="F161" i="112"/>
  <c r="F178" i="112"/>
  <c r="J119" i="112"/>
  <c r="F227" i="112"/>
  <c r="J231" i="112"/>
  <c r="J135" i="112"/>
  <c r="J172" i="112"/>
  <c r="J196" i="112"/>
  <c r="J9" i="112"/>
  <c r="F56" i="112"/>
  <c r="F204" i="112"/>
  <c r="J154" i="112"/>
  <c r="J144" i="112"/>
  <c r="F75" i="112"/>
  <c r="F150" i="112"/>
  <c r="J141" i="112"/>
  <c r="J255" i="112"/>
  <c r="F116" i="112"/>
  <c r="J74" i="112"/>
  <c r="J243" i="112"/>
  <c r="F106" i="112"/>
  <c r="J171" i="112"/>
  <c r="J257" i="112"/>
  <c r="J247" i="112"/>
  <c r="J90" i="112"/>
  <c r="F234" i="112"/>
  <c r="J176" i="112"/>
  <c r="F222" i="112"/>
  <c r="F146" i="112"/>
  <c r="F55" i="112"/>
  <c r="J208" i="112"/>
  <c r="J36" i="112"/>
  <c r="J166" i="112"/>
  <c r="J217" i="112"/>
  <c r="F228" i="112"/>
  <c r="J28" i="112"/>
  <c r="F244" i="112"/>
  <c r="J25" i="112"/>
  <c r="J111" i="112"/>
  <c r="J175" i="112"/>
  <c r="F139" i="112"/>
  <c r="F243" i="112"/>
  <c r="J80" i="112"/>
  <c r="J86" i="112"/>
  <c r="F144" i="112"/>
  <c r="F147" i="112"/>
  <c r="J4" i="112"/>
  <c r="J249" i="112"/>
  <c r="F138" i="112"/>
  <c r="F252" i="112"/>
  <c r="F107" i="112"/>
  <c r="F117" i="112"/>
  <c r="J93" i="112"/>
  <c r="F247" i="112"/>
  <c r="J8" i="112"/>
  <c r="J227" i="112"/>
  <c r="F121" i="112"/>
  <c r="F109" i="112"/>
  <c r="J94" i="112"/>
  <c r="J62" i="112"/>
  <c r="J200" i="112"/>
  <c r="J211" i="112"/>
  <c r="F58" i="112"/>
  <c r="J223" i="112"/>
  <c r="J115" i="112"/>
  <c r="J41" i="112"/>
  <c r="J79" i="112"/>
  <c r="F154" i="112"/>
  <c r="F71" i="112"/>
  <c r="F64" i="112"/>
  <c r="J232" i="112"/>
  <c r="J26" i="112"/>
  <c r="J150" i="112"/>
  <c r="J120" i="112"/>
  <c r="F122" i="112"/>
  <c r="F188" i="112"/>
  <c r="J139" i="112"/>
  <c r="F219" i="112"/>
  <c r="J88" i="112"/>
  <c r="F68" i="112"/>
  <c r="J181" i="112"/>
  <c r="F124" i="112"/>
  <c r="F100" i="112"/>
  <c r="J7" i="112"/>
  <c r="J122" i="112"/>
  <c r="J118" i="112"/>
  <c r="F171" i="112"/>
  <c r="F214" i="112"/>
  <c r="F194" i="112"/>
  <c r="F166" i="112"/>
  <c r="F76" i="112"/>
  <c r="J207" i="112"/>
  <c r="F66" i="112"/>
  <c r="J34" i="112"/>
  <c r="J92" i="112"/>
  <c r="J167" i="112"/>
  <c r="J258" i="112"/>
  <c r="J197" i="112"/>
  <c r="F133" i="112"/>
  <c r="F103" i="112"/>
  <c r="J114" i="112"/>
  <c r="J246" i="112"/>
  <c r="J194" i="112"/>
  <c r="J6" i="112"/>
  <c r="F141" i="112"/>
  <c r="F182" i="112"/>
  <c r="J180" i="112"/>
  <c r="J228" i="112"/>
  <c r="F151" i="112"/>
  <c r="J148" i="112"/>
  <c r="F163" i="112"/>
  <c r="F251" i="112"/>
  <c r="J64" i="112"/>
  <c r="J195" i="112"/>
  <c r="F162" i="112"/>
  <c r="J187" i="112"/>
  <c r="F62" i="112"/>
  <c r="F79" i="112"/>
  <c r="F157" i="112"/>
  <c r="F77" i="112"/>
  <c r="J37" i="112"/>
  <c r="J136" i="112"/>
  <c r="F165" i="112"/>
  <c r="J204" i="112"/>
  <c r="J152" i="112"/>
  <c r="J98" i="112"/>
  <c r="F91" i="112"/>
  <c r="J72" i="112"/>
  <c r="F85" i="112"/>
  <c r="J68" i="112"/>
  <c r="J46" i="112"/>
  <c r="J239" i="112"/>
  <c r="F206" i="112"/>
  <c r="J216" i="112"/>
  <c r="J39" i="112"/>
  <c r="J254" i="112"/>
  <c r="J230" i="112"/>
  <c r="F136" i="112"/>
  <c r="J38" i="112"/>
  <c r="J189" i="112"/>
  <c r="J96" i="112"/>
  <c r="F89" i="112"/>
  <c r="J50" i="112"/>
  <c r="F212" i="112"/>
  <c r="J234" i="112"/>
  <c r="F241" i="112"/>
  <c r="J229" i="112"/>
  <c r="J104" i="112"/>
  <c r="J35" i="112"/>
  <c r="J66" i="112"/>
  <c r="F242" i="112"/>
  <c r="J182" i="112"/>
  <c r="J151" i="112"/>
  <c r="J42" i="112"/>
  <c r="F218" i="112"/>
  <c r="J103" i="112"/>
  <c r="J209" i="112"/>
  <c r="J165" i="112"/>
  <c r="J83" i="112"/>
  <c r="J170" i="112"/>
  <c r="F225" i="112"/>
  <c r="J108" i="112"/>
  <c r="F126" i="112"/>
  <c r="J226" i="112"/>
  <c r="F57" i="112"/>
  <c r="J256" i="112"/>
  <c r="F196" i="112"/>
  <c r="J253" i="112"/>
  <c r="F257" i="112"/>
  <c r="F92" i="112"/>
  <c r="J174" i="112"/>
  <c r="J55" i="112"/>
  <c r="J192" i="112"/>
  <c r="J51" i="112"/>
  <c r="F119" i="112"/>
  <c r="F112" i="112"/>
  <c r="J140" i="112"/>
  <c r="J113" i="112"/>
  <c r="J126" i="112"/>
  <c r="J153" i="112"/>
  <c r="J143" i="112"/>
  <c r="J156" i="112"/>
  <c r="F111" i="112"/>
  <c r="J202" i="112"/>
  <c r="J164" i="112"/>
  <c r="J71" i="112"/>
  <c r="J15" i="112"/>
  <c r="F233" i="112"/>
  <c r="J52" i="112"/>
  <c r="J219" i="112"/>
  <c r="F102" i="112"/>
  <c r="F70" i="112"/>
  <c r="F87" i="112"/>
  <c r="F231" i="112"/>
  <c r="F114" i="112"/>
  <c r="F253" i="112"/>
  <c r="F131" i="112"/>
  <c r="F125" i="112"/>
  <c r="F193" i="112"/>
  <c r="F80" i="112"/>
  <c r="J245" i="112"/>
  <c r="F174" i="112"/>
  <c r="J44" i="112"/>
  <c r="F152" i="112"/>
  <c r="F254" i="112"/>
  <c r="F153" i="112"/>
  <c r="J70" i="112"/>
  <c r="J29" i="112"/>
  <c r="J18" i="112"/>
  <c r="F220" i="112"/>
  <c r="J53" i="112"/>
  <c r="F60" i="112"/>
  <c r="J32" i="112"/>
  <c r="F232" i="112"/>
  <c r="J77" i="112"/>
  <c r="J49" i="112"/>
  <c r="F229" i="112"/>
  <c r="F217" i="112"/>
  <c r="F159" i="112"/>
  <c r="F127" i="112"/>
  <c r="F168" i="112"/>
  <c r="F73" i="112"/>
  <c r="F134" i="112"/>
  <c r="J21" i="112"/>
  <c r="J76" i="112"/>
  <c r="F207" i="112"/>
  <c r="J82" i="112"/>
  <c r="J146" i="112"/>
  <c r="F99" i="112"/>
  <c r="J250" i="112"/>
  <c r="J106" i="112"/>
  <c r="J149" i="112"/>
  <c r="J193" i="112"/>
  <c r="J225" i="112"/>
  <c r="J102" i="112"/>
  <c r="F173" i="112"/>
  <c r="F110" i="112"/>
  <c r="F84" i="112"/>
  <c r="J214" i="112"/>
  <c r="F205" i="112"/>
  <c r="F176" i="112"/>
  <c r="J242" i="112"/>
  <c r="J107" i="112"/>
  <c r="J5" i="112"/>
  <c r="J145" i="112"/>
  <c r="J63" i="112"/>
  <c r="J24" i="112"/>
  <c r="J233" i="112"/>
  <c r="J252" i="112"/>
  <c r="F198" i="112"/>
  <c r="F256" i="112"/>
  <c r="J128" i="112"/>
  <c r="F94" i="112"/>
  <c r="F61" i="112"/>
  <c r="F201" i="112"/>
  <c r="J130" i="112"/>
  <c r="F143" i="112"/>
  <c r="F104" i="112"/>
  <c r="J147" i="112"/>
  <c r="J240" i="112"/>
  <c r="F155" i="112"/>
  <c r="J218" i="112"/>
  <c r="J89" i="112"/>
  <c r="J134" i="112"/>
  <c r="J236" i="112"/>
  <c r="J178" i="112"/>
  <c r="F156" i="112"/>
  <c r="J91" i="112"/>
  <c r="J60" i="112"/>
  <c r="F137" i="112"/>
  <c r="J248" i="112"/>
  <c r="J27" i="112"/>
  <c r="J95" i="112"/>
  <c r="F63" i="112"/>
  <c r="F148" i="112"/>
  <c r="F240" i="112"/>
  <c r="J67" i="112"/>
  <c r="F195" i="112"/>
  <c r="F72" i="112"/>
  <c r="J177" i="112"/>
  <c r="F97" i="112"/>
  <c r="J58" i="112"/>
  <c r="J169" i="112"/>
  <c r="J56" i="112"/>
  <c r="J185" i="112"/>
  <c r="F209" i="112"/>
  <c r="J87" i="112"/>
  <c r="J237" i="112"/>
  <c r="F216" i="112"/>
  <c r="F211" i="112"/>
  <c r="J19" i="112"/>
  <c r="J13" i="112"/>
  <c r="J138" i="112"/>
  <c r="F98" i="112"/>
  <c r="F83" i="112"/>
  <c r="F142" i="112"/>
  <c r="F239" i="112"/>
  <c r="J81" i="112"/>
  <c r="J212" i="112"/>
  <c r="F59" i="112"/>
  <c r="F88" i="112"/>
  <c r="F120" i="112"/>
  <c r="F95" i="112"/>
  <c r="F197" i="112"/>
  <c r="F199" i="112"/>
  <c r="F237" i="112"/>
  <c r="J221" i="112"/>
  <c r="J101" i="112"/>
  <c r="F203" i="112"/>
  <c r="F189" i="112"/>
  <c r="F81" i="112"/>
  <c r="J220" i="112"/>
  <c r="F238" i="112"/>
  <c r="J124" i="112"/>
  <c r="F259" i="112"/>
  <c r="F183" i="112"/>
  <c r="F149" i="112"/>
  <c r="F128" i="112"/>
  <c r="J188" i="112"/>
  <c r="F93" i="112"/>
  <c r="F160" i="112"/>
  <c r="J17" i="112"/>
  <c r="J162" i="112"/>
  <c r="F185" i="112"/>
  <c r="F184" i="112"/>
  <c r="F105" i="112"/>
  <c r="F115" i="112"/>
  <c r="F118" i="112"/>
  <c r="F181" i="112"/>
  <c r="F69" i="112"/>
  <c r="J184" i="112"/>
  <c r="J65" i="112"/>
  <c r="J159" i="112"/>
  <c r="J14" i="112"/>
  <c r="F101" i="112"/>
  <c r="F145" i="112"/>
  <c r="F123" i="112"/>
  <c r="F245" i="112"/>
  <c r="F175" i="112"/>
  <c r="J97" i="112"/>
  <c r="J241" i="112"/>
  <c r="F169" i="112"/>
  <c r="J10" i="112"/>
  <c r="J224" i="112"/>
  <c r="J161" i="112"/>
  <c r="F258" i="112"/>
  <c r="J210" i="112"/>
  <c r="F248" i="112"/>
  <c r="J251" i="112"/>
  <c r="F223" i="112"/>
  <c r="J133" i="112"/>
  <c r="J123" i="112"/>
  <c r="J129" i="112"/>
  <c r="F230" i="112"/>
  <c r="J23" i="112"/>
  <c r="F164" i="112"/>
  <c r="F210" i="112"/>
  <c r="F90" i="112"/>
  <c r="J69" i="112"/>
  <c r="J43" i="112"/>
  <c r="J205" i="112"/>
  <c r="F246" i="112"/>
  <c r="F129" i="112"/>
  <c r="J121" i="112"/>
  <c r="J110" i="112"/>
  <c r="F191" i="112"/>
  <c r="J213" i="112"/>
  <c r="J20" i="112"/>
  <c r="J244" i="112"/>
  <c r="J238" i="112"/>
  <c r="A119" i="131"/>
  <c r="E119" i="128"/>
  <c r="B119" i="128"/>
  <c r="D119" i="128"/>
  <c r="D80" i="128"/>
  <c r="B80" i="128"/>
  <c r="A80" i="131"/>
  <c r="E80" i="128"/>
  <c r="D91" i="128"/>
  <c r="B91" i="128"/>
  <c r="E91" i="128"/>
  <c r="A91" i="131"/>
  <c r="B82" i="128"/>
  <c r="A82" i="131"/>
  <c r="D82" i="128"/>
  <c r="E82" i="128"/>
  <c r="A58" i="131"/>
  <c r="E58" i="128"/>
  <c r="D58" i="128"/>
  <c r="B58" i="128"/>
  <c r="B27" i="128"/>
  <c r="A27" i="131"/>
  <c r="D27" i="128"/>
  <c r="B90" i="128"/>
  <c r="A90" i="131"/>
  <c r="E90" i="128"/>
  <c r="D90" i="128"/>
  <c r="A38" i="131"/>
  <c r="B38" i="128"/>
  <c r="D38" i="128"/>
  <c r="E92" i="128"/>
  <c r="D92" i="128"/>
  <c r="A92" i="131"/>
  <c r="B92" i="128"/>
  <c r="A111" i="131"/>
  <c r="B111" i="128"/>
  <c r="D111" i="128"/>
  <c r="E111" i="128"/>
  <c r="A67" i="131"/>
  <c r="E67" i="128"/>
  <c r="D67" i="128"/>
  <c r="B67" i="128"/>
  <c r="D17" i="128"/>
  <c r="A17" i="131"/>
  <c r="B17" i="128"/>
  <c r="D84" i="128"/>
  <c r="B84" i="128"/>
  <c r="E84" i="128"/>
  <c r="A84" i="131"/>
  <c r="A40" i="131"/>
  <c r="D40" i="128"/>
  <c r="B40" i="128"/>
  <c r="A64" i="131"/>
  <c r="D64" i="128"/>
  <c r="E64" i="128"/>
  <c r="B64" i="128"/>
  <c r="D126" i="128"/>
  <c r="B126" i="128"/>
  <c r="E126" i="128"/>
  <c r="A126" i="131"/>
  <c r="E77" i="128"/>
  <c r="A77" i="131"/>
  <c r="B77" i="128"/>
  <c r="D77" i="128"/>
  <c r="A30" i="131"/>
  <c r="B30" i="128"/>
  <c r="D30" i="128"/>
  <c r="B68" i="128"/>
  <c r="D68" i="128"/>
  <c r="E68" i="128"/>
  <c r="A68" i="131"/>
  <c r="D48" i="128"/>
  <c r="A48" i="131"/>
  <c r="B48" i="128"/>
  <c r="B36" i="128"/>
  <c r="A36" i="131"/>
  <c r="D36" i="128"/>
  <c r="A117" i="131"/>
  <c r="D117" i="128"/>
  <c r="E117" i="128"/>
  <c r="B117" i="128"/>
  <c r="B57" i="128"/>
  <c r="E57" i="128"/>
  <c r="A57" i="131"/>
  <c r="D57" i="128"/>
  <c r="B125" i="128"/>
  <c r="D125" i="128"/>
  <c r="A125" i="131"/>
  <c r="E125" i="128"/>
  <c r="D21" i="128"/>
  <c r="A21" i="131"/>
  <c r="B21" i="128"/>
  <c r="A124" i="131"/>
  <c r="E124" i="128"/>
  <c r="D124" i="128"/>
  <c r="B124" i="128"/>
  <c r="E73" i="128"/>
  <c r="D73" i="128"/>
  <c r="B73" i="128"/>
  <c r="A73" i="131"/>
  <c r="E79" i="128"/>
  <c r="D79" i="128"/>
  <c r="B79" i="128"/>
  <c r="A79" i="131"/>
  <c r="B49" i="128"/>
  <c r="D49" i="128"/>
  <c r="A49" i="131"/>
  <c r="B13" i="128"/>
  <c r="A13" i="131"/>
  <c r="D13" i="128"/>
  <c r="D54" i="128"/>
  <c r="A54" i="131"/>
  <c r="B54" i="128"/>
  <c r="A44" i="131"/>
  <c r="D44" i="128"/>
  <c r="B44" i="128"/>
  <c r="B11" i="128"/>
  <c r="A11" i="131"/>
  <c r="D11" i="128"/>
  <c r="D105" i="128"/>
  <c r="B105" i="128"/>
  <c r="A105" i="131"/>
  <c r="E105" i="128"/>
  <c r="A18" i="131"/>
  <c r="B18" i="128"/>
  <c r="D18" i="128"/>
  <c r="B113" i="128"/>
  <c r="D113" i="128"/>
  <c r="E113" i="128"/>
  <c r="A113" i="131"/>
  <c r="A5" i="131"/>
  <c r="D5" i="128"/>
  <c r="B5" i="128"/>
  <c r="E116" i="128"/>
  <c r="B116" i="128"/>
  <c r="D116" i="128"/>
  <c r="A116" i="131"/>
  <c r="B25" i="128"/>
  <c r="A25" i="131"/>
  <c r="D25" i="128"/>
  <c r="A59" i="131"/>
  <c r="E59" i="128"/>
  <c r="D59" i="128"/>
  <c r="B59" i="128"/>
  <c r="B45" i="128"/>
  <c r="D45" i="128"/>
  <c r="A45" i="131"/>
  <c r="D29" i="128"/>
  <c r="B29" i="128"/>
  <c r="A29" i="131"/>
  <c r="D28" i="128"/>
  <c r="B28" i="128"/>
  <c r="A28" i="131"/>
  <c r="D66" i="128"/>
  <c r="B66" i="128"/>
  <c r="A66" i="131"/>
  <c r="E66" i="128"/>
  <c r="D86" i="128"/>
  <c r="E86" i="128"/>
  <c r="B86" i="128"/>
  <c r="A86" i="131"/>
  <c r="A56" i="131"/>
  <c r="E56" i="128"/>
  <c r="D56" i="128"/>
  <c r="B56" i="128"/>
  <c r="D43" i="128"/>
  <c r="B43" i="128"/>
  <c r="A43" i="131"/>
  <c r="D104" i="128"/>
  <c r="B104" i="128"/>
  <c r="E104" i="128"/>
  <c r="A104" i="131"/>
  <c r="E99" i="128"/>
  <c r="A99" i="131"/>
  <c r="D99" i="128"/>
  <c r="B99" i="128"/>
  <c r="D16" i="128"/>
  <c r="A16" i="131"/>
  <c r="B16" i="128"/>
  <c r="A85" i="131"/>
  <c r="B85" i="128"/>
  <c r="E85" i="128"/>
  <c r="D85" i="128"/>
  <c r="D53" i="128"/>
  <c r="B53" i="128"/>
  <c r="A53" i="131"/>
  <c r="A118" i="131"/>
  <c r="E118" i="128"/>
  <c r="D118" i="128"/>
  <c r="B118" i="128"/>
  <c r="B50" i="128"/>
  <c r="D50" i="128"/>
  <c r="A50" i="131"/>
  <c r="B87" i="128"/>
  <c r="E87" i="128"/>
  <c r="A87" i="131"/>
  <c r="D87" i="128"/>
  <c r="A69" i="131"/>
  <c r="D69" i="128"/>
  <c r="B69" i="128"/>
  <c r="E69" i="128"/>
  <c r="A15" i="131"/>
  <c r="D15" i="128"/>
  <c r="B15" i="128"/>
  <c r="A83" i="131"/>
  <c r="E83" i="128"/>
  <c r="D83" i="128"/>
  <c r="B83" i="128"/>
  <c r="A103" i="131"/>
  <c r="E103" i="128"/>
  <c r="D103" i="128"/>
  <c r="B103" i="128"/>
  <c r="A55" i="131"/>
  <c r="D55" i="128"/>
  <c r="E55" i="128"/>
  <c r="B55" i="128"/>
  <c r="D63" i="128"/>
  <c r="B63" i="128"/>
  <c r="A63" i="131"/>
  <c r="E63" i="128"/>
  <c r="E71" i="128"/>
  <c r="A71" i="131"/>
  <c r="B71" i="128"/>
  <c r="D71" i="128"/>
  <c r="S2" i="47"/>
  <c r="S3" i="47"/>
  <c r="L2" i="112"/>
  <c r="F5" i="112" s="1"/>
  <c r="L3" i="112"/>
  <c r="D108" i="128"/>
  <c r="B108" i="128"/>
  <c r="E108" i="128"/>
  <c r="A108" i="131"/>
  <c r="E120" i="128"/>
  <c r="D120" i="128"/>
  <c r="B120" i="128"/>
  <c r="A120" i="131"/>
  <c r="D10" i="128"/>
  <c r="A10" i="131"/>
  <c r="B10" i="128"/>
  <c r="E60" i="128"/>
  <c r="A60" i="131"/>
  <c r="D60" i="128"/>
  <c r="B60" i="128"/>
  <c r="E65" i="128"/>
  <c r="A65" i="131"/>
  <c r="D65" i="128"/>
  <c r="B65" i="128"/>
  <c r="B101" i="128"/>
  <c r="D101" i="128"/>
  <c r="E101" i="128"/>
  <c r="A101" i="131"/>
  <c r="B24" i="128"/>
  <c r="A24" i="131"/>
  <c r="D24" i="128"/>
  <c r="D31" i="128"/>
  <c r="B31" i="128"/>
  <c r="A31" i="131"/>
  <c r="D51" i="128"/>
  <c r="B51" i="128"/>
  <c r="A51" i="131"/>
  <c r="D107" i="128"/>
  <c r="E107" i="128"/>
  <c r="A107" i="131"/>
  <c r="B107" i="128"/>
  <c r="A94" i="131"/>
  <c r="D94" i="128"/>
  <c r="E94" i="128"/>
  <c r="B94" i="128"/>
  <c r="A22" i="131"/>
  <c r="B22" i="128"/>
  <c r="D22" i="128"/>
  <c r="A52" i="131"/>
  <c r="B52" i="128"/>
  <c r="D52" i="128"/>
  <c r="B93" i="128"/>
  <c r="D93" i="128"/>
  <c r="A93" i="131"/>
  <c r="E93" i="128"/>
  <c r="E127" i="128"/>
  <c r="D127" i="128"/>
  <c r="B127" i="128"/>
  <c r="A127" i="131"/>
  <c r="A95" i="131"/>
  <c r="B95" i="128"/>
  <c r="E95" i="128"/>
  <c r="D95" i="128"/>
  <c r="D89" i="128"/>
  <c r="E89" i="128"/>
  <c r="B89" i="128"/>
  <c r="A89" i="131"/>
  <c r="A72" i="131"/>
  <c r="E72" i="128"/>
  <c r="D72" i="128"/>
  <c r="B72" i="128"/>
  <c r="E96" i="128"/>
  <c r="D96" i="128"/>
  <c r="A96" i="131"/>
  <c r="B96" i="128"/>
  <c r="A23" i="131"/>
  <c r="B23" i="128"/>
  <c r="D23" i="128"/>
  <c r="B81" i="128"/>
  <c r="D81" i="128"/>
  <c r="E81" i="128"/>
  <c r="A81" i="131"/>
  <c r="D35" i="128"/>
  <c r="B35" i="128"/>
  <c r="A35" i="131"/>
  <c r="A20" i="131"/>
  <c r="B20" i="128"/>
  <c r="D20" i="128"/>
  <c r="E112" i="128"/>
  <c r="A112" i="131"/>
  <c r="B112" i="128"/>
  <c r="D112" i="128"/>
  <c r="D61" i="128"/>
  <c r="B61" i="128"/>
  <c r="A61" i="131"/>
  <c r="E61" i="128"/>
  <c r="A110" i="131"/>
  <c r="E110" i="128"/>
  <c r="B110" i="128"/>
  <c r="D110" i="128"/>
  <c r="D130" i="128"/>
  <c r="B130" i="128"/>
  <c r="A130" i="131"/>
  <c r="E130" i="128"/>
  <c r="A102" i="131"/>
  <c r="B102" i="128"/>
  <c r="D102" i="128"/>
  <c r="E102" i="128"/>
  <c r="A97" i="131"/>
  <c r="B97" i="128"/>
  <c r="E97" i="128"/>
  <c r="D97" i="128"/>
  <c r="B114" i="128"/>
  <c r="A114" i="131"/>
  <c r="E114" i="128"/>
  <c r="D114" i="128"/>
  <c r="E122" i="128"/>
  <c r="A122" i="131"/>
  <c r="D122" i="128"/>
  <c r="B122" i="128"/>
  <c r="B39" i="128"/>
  <c r="A39" i="131"/>
  <c r="D39" i="128"/>
  <c r="AH80" i="47"/>
  <c r="AH131" i="47"/>
  <c r="AH118" i="47"/>
  <c r="AH75" i="47"/>
  <c r="AH120" i="47"/>
  <c r="AH127" i="47"/>
  <c r="AH101" i="47"/>
  <c r="AH100" i="47"/>
  <c r="AH97" i="47"/>
  <c r="AH71" i="47"/>
  <c r="AH98" i="47"/>
  <c r="AH82" i="47"/>
  <c r="AH83" i="47"/>
  <c r="AH112" i="47"/>
  <c r="AH88" i="47"/>
  <c r="AH130" i="47"/>
  <c r="AH105" i="47"/>
  <c r="AH67" i="47"/>
  <c r="AH126" i="47"/>
  <c r="AH89" i="47"/>
  <c r="A3" i="131"/>
  <c r="AH91" i="47"/>
  <c r="AH122" i="47"/>
  <c r="AH116" i="47"/>
  <c r="AH86" i="47"/>
  <c r="AH121" i="47"/>
  <c r="AH106" i="47"/>
  <c r="AH81" i="47"/>
  <c r="AH104" i="47"/>
  <c r="AH92" i="47"/>
  <c r="AH93" i="47"/>
  <c r="AH79" i="47"/>
  <c r="AH123" i="47"/>
  <c r="AH70" i="47"/>
  <c r="AH132" i="47"/>
  <c r="AH125" i="47"/>
  <c r="AH99" i="47"/>
  <c r="AH128" i="47"/>
  <c r="AH129" i="47"/>
  <c r="AH134" i="47"/>
  <c r="D3" i="128"/>
  <c r="AH113" i="47"/>
  <c r="AH62" i="47"/>
  <c r="AH72" i="47"/>
  <c r="AH124" i="47"/>
  <c r="AH109" i="47"/>
  <c r="AH66" i="47"/>
  <c r="AH90" i="47"/>
  <c r="AH85" i="47"/>
  <c r="AH77" i="47"/>
  <c r="AH115" i="47"/>
  <c r="AH94" i="47"/>
  <c r="AH108" i="47"/>
  <c r="B3" i="128"/>
  <c r="AH110" i="47"/>
  <c r="AH137" i="47"/>
  <c r="AH138" i="47"/>
  <c r="AH133" i="47"/>
  <c r="AH78" i="47"/>
  <c r="AH102" i="47"/>
  <c r="AH103" i="47"/>
  <c r="AH69" i="47"/>
  <c r="AH111" i="47"/>
  <c r="AH65" i="47"/>
  <c r="AH64" i="47"/>
  <c r="AH114" i="47"/>
  <c r="AH136" i="47"/>
  <c r="AH96" i="47"/>
  <c r="AH117" i="47"/>
  <c r="AH95" i="47"/>
  <c r="AH74" i="47"/>
  <c r="AH119" i="47"/>
  <c r="AH135" i="47"/>
  <c r="AH63" i="47"/>
  <c r="AH84" i="47"/>
  <c r="AH73" i="47"/>
  <c r="AH76" i="47"/>
  <c r="AH68" i="47"/>
  <c r="AH87" i="47"/>
  <c r="B4" i="128"/>
  <c r="D4" i="128"/>
  <c r="A4" i="131"/>
  <c r="E76" i="128"/>
  <c r="A76" i="131"/>
  <c r="D76" i="128"/>
  <c r="B76" i="128"/>
  <c r="E109" i="128"/>
  <c r="B109" i="128"/>
  <c r="D109" i="128"/>
  <c r="A109" i="131"/>
  <c r="A32" i="131"/>
  <c r="B32" i="128"/>
  <c r="D32" i="128"/>
  <c r="D98" i="128"/>
  <c r="E98" i="128"/>
  <c r="A98" i="131"/>
  <c r="B98" i="128"/>
  <c r="A8" i="131"/>
  <c r="B8" i="128"/>
  <c r="D8" i="128"/>
  <c r="B62" i="128"/>
  <c r="D62" i="128"/>
  <c r="E62" i="128"/>
  <c r="A62" i="131"/>
  <c r="E100" i="128"/>
  <c r="A100" i="131"/>
  <c r="B100" i="128"/>
  <c r="D100" i="128"/>
  <c r="A47" i="131"/>
  <c r="D47" i="128"/>
  <c r="B47" i="128"/>
  <c r="A129" i="131"/>
  <c r="B129" i="128"/>
  <c r="E129" i="128"/>
  <c r="D129" i="128"/>
  <c r="B123" i="128"/>
  <c r="D123" i="128"/>
  <c r="E123" i="128"/>
  <c r="A123" i="131"/>
  <c r="AW7" i="47"/>
  <c r="AX7" i="47" s="1"/>
  <c r="AY7" i="47" s="1"/>
  <c r="AZ7" i="47" s="1"/>
  <c r="AW6" i="47"/>
  <c r="B88" i="128"/>
  <c r="A88" i="131"/>
  <c r="E88" i="128"/>
  <c r="D88" i="128"/>
  <c r="A106" i="131"/>
  <c r="E106" i="128"/>
  <c r="D106" i="128"/>
  <c r="B106" i="128"/>
  <c r="B14" i="128"/>
  <c r="A14" i="131"/>
  <c r="D14" i="128"/>
  <c r="F22" i="47"/>
  <c r="D61" i="124"/>
  <c r="F61" i="124" s="1"/>
  <c r="G12" i="125"/>
  <c r="G65" i="125"/>
  <c r="G28" i="122"/>
  <c r="G19" i="123"/>
  <c r="C58" i="124"/>
  <c r="E58" i="124" s="1"/>
  <c r="C31" i="125"/>
  <c r="E31" i="125" s="1"/>
  <c r="C29" i="124"/>
  <c r="E29" i="124" s="1"/>
  <c r="F116" i="47"/>
  <c r="F130" i="47"/>
  <c r="D35" i="127"/>
  <c r="F35" i="127" s="1"/>
  <c r="F88" i="47"/>
  <c r="C57" i="124"/>
  <c r="E57" i="124" s="1"/>
  <c r="G35" i="127"/>
  <c r="G45" i="122"/>
  <c r="D40" i="124"/>
  <c r="F40" i="124" s="1"/>
  <c r="D42" i="127"/>
  <c r="F42" i="127" s="1"/>
  <c r="D29" i="123"/>
  <c r="F29" i="123" s="1"/>
  <c r="C63" i="123"/>
  <c r="E63" i="123" s="1"/>
  <c r="F128" i="47"/>
  <c r="G42" i="127"/>
  <c r="F23" i="47"/>
  <c r="F70" i="47"/>
  <c r="C57" i="123"/>
  <c r="E57" i="123" s="1"/>
  <c r="C58" i="126"/>
  <c r="E58" i="126" s="1"/>
  <c r="G6" i="127"/>
  <c r="D37" i="125"/>
  <c r="F37" i="125" s="1"/>
  <c r="C51" i="126"/>
  <c r="E51" i="126" s="1"/>
  <c r="F17" i="47"/>
  <c r="C34" i="124"/>
  <c r="E34" i="124" s="1"/>
  <c r="C49" i="123"/>
  <c r="E49" i="123" s="1"/>
  <c r="G46" i="126"/>
  <c r="G13" i="123"/>
  <c r="G40" i="125"/>
  <c r="G10" i="127"/>
  <c r="D39" i="125"/>
  <c r="F39" i="125" s="1"/>
  <c r="G5" i="126"/>
  <c r="C65" i="123"/>
  <c r="E65" i="123" s="1"/>
  <c r="F77" i="47"/>
  <c r="G35" i="122"/>
  <c r="D39" i="124"/>
  <c r="F39" i="124" s="1"/>
  <c r="C59" i="127"/>
  <c r="E59" i="127" s="1"/>
  <c r="D44" i="127"/>
  <c r="F44" i="127" s="1"/>
  <c r="G37" i="125"/>
  <c r="D49" i="124"/>
  <c r="F49" i="124" s="1"/>
  <c r="G4" i="126"/>
  <c r="D31" i="126"/>
  <c r="F31" i="126" s="1"/>
  <c r="G3" i="126"/>
  <c r="F34" i="47"/>
  <c r="D45" i="124"/>
  <c r="F45" i="124" s="1"/>
  <c r="C37" i="127"/>
  <c r="E37" i="127" s="1"/>
  <c r="D40" i="125"/>
  <c r="F40" i="125" s="1"/>
  <c r="G30" i="125"/>
  <c r="G66" i="122"/>
  <c r="D56" i="125"/>
  <c r="F56" i="125" s="1"/>
  <c r="G27" i="123"/>
  <c r="G51" i="124"/>
  <c r="F54" i="47"/>
  <c r="C46" i="126"/>
  <c r="E46" i="126" s="1"/>
  <c r="C56" i="127"/>
  <c r="E56" i="127" s="1"/>
  <c r="C32" i="126"/>
  <c r="E32" i="126" s="1"/>
  <c r="F33" i="47"/>
  <c r="F42" i="47"/>
  <c r="F41" i="47"/>
  <c r="C60" i="125"/>
  <c r="E60" i="125" s="1"/>
  <c r="G60" i="123"/>
  <c r="D34" i="127"/>
  <c r="F34" i="127" s="1"/>
  <c r="D53" i="126"/>
  <c r="F53" i="126" s="1"/>
  <c r="D34" i="125"/>
  <c r="F34" i="125" s="1"/>
  <c r="D64" i="126"/>
  <c r="F64" i="126" s="1"/>
  <c r="F133" i="47"/>
  <c r="G20" i="126"/>
  <c r="G57" i="124"/>
  <c r="D55" i="127"/>
  <c r="F55" i="127" s="1"/>
  <c r="F126" i="47"/>
  <c r="D48" i="123"/>
  <c r="F48" i="123" s="1"/>
  <c r="F14" i="47"/>
  <c r="G48" i="126"/>
  <c r="F107" i="47"/>
  <c r="G43" i="122"/>
  <c r="F109" i="47"/>
  <c r="G36" i="123"/>
  <c r="C37" i="123"/>
  <c r="E37" i="123" s="1"/>
  <c r="C65" i="124"/>
  <c r="E65" i="124" s="1"/>
  <c r="C58" i="127"/>
  <c r="E58" i="127" s="1"/>
  <c r="G16" i="124"/>
  <c r="G4" i="123"/>
  <c r="G17" i="122"/>
  <c r="G31" i="123"/>
  <c r="D43" i="124"/>
  <c r="F43" i="124" s="1"/>
  <c r="G23" i="125"/>
  <c r="C38" i="126"/>
  <c r="E38" i="126" s="1"/>
  <c r="C52" i="126"/>
  <c r="E52" i="126" s="1"/>
  <c r="G35" i="124"/>
  <c r="D40" i="123"/>
  <c r="F40" i="123" s="1"/>
  <c r="D53" i="124"/>
  <c r="F53" i="124" s="1"/>
  <c r="G44" i="124"/>
  <c r="C38" i="124"/>
  <c r="E38" i="124" s="1"/>
  <c r="G40" i="123"/>
  <c r="D37" i="126"/>
  <c r="F37" i="126" s="1"/>
  <c r="G37" i="124"/>
  <c r="C48" i="125"/>
  <c r="E48" i="125" s="1"/>
  <c r="G50" i="123"/>
  <c r="G32" i="126"/>
  <c r="G54" i="125"/>
  <c r="C37" i="125"/>
  <c r="E37" i="125" s="1"/>
  <c r="D43" i="123"/>
  <c r="F43" i="123" s="1"/>
  <c r="D52" i="124"/>
  <c r="F52" i="124" s="1"/>
  <c r="G36" i="126"/>
  <c r="D45" i="123"/>
  <c r="F45" i="123" s="1"/>
  <c r="D49" i="125"/>
  <c r="F49" i="125" s="1"/>
  <c r="G15" i="126"/>
  <c r="C52" i="125"/>
  <c r="E52" i="125" s="1"/>
  <c r="G45" i="124"/>
  <c r="G16" i="122"/>
  <c r="C30" i="126"/>
  <c r="E30" i="126" s="1"/>
  <c r="C42" i="126"/>
  <c r="E42" i="126" s="1"/>
  <c r="G50" i="122"/>
  <c r="G47" i="126"/>
  <c r="G55" i="123"/>
  <c r="G16" i="127"/>
  <c r="C60" i="123"/>
  <c r="E60" i="123" s="1"/>
  <c r="G61" i="125"/>
  <c r="G5" i="127"/>
  <c r="C50" i="126"/>
  <c r="E50" i="126" s="1"/>
  <c r="D34" i="124"/>
  <c r="F34" i="124" s="1"/>
  <c r="G48" i="125"/>
  <c r="D37" i="127"/>
  <c r="F37" i="127" s="1"/>
  <c r="D35" i="126"/>
  <c r="F35" i="126" s="1"/>
  <c r="F122" i="47"/>
  <c r="D41" i="126"/>
  <c r="F41" i="126" s="1"/>
  <c r="D30" i="126"/>
  <c r="F30" i="126" s="1"/>
  <c r="F44" i="47"/>
  <c r="G5" i="122"/>
  <c r="C63" i="126"/>
  <c r="E63" i="126" s="1"/>
  <c r="G4" i="122"/>
  <c r="G64" i="127"/>
  <c r="F50" i="47"/>
  <c r="D48" i="126"/>
  <c r="F48" i="126" s="1"/>
  <c r="D54" i="125"/>
  <c r="F54" i="125" s="1"/>
  <c r="G66" i="124"/>
  <c r="C35" i="126"/>
  <c r="E35" i="126" s="1"/>
  <c r="G48" i="127"/>
  <c r="F93" i="47"/>
  <c r="F132" i="47"/>
  <c r="C39" i="126"/>
  <c r="E39" i="126" s="1"/>
  <c r="C40" i="125"/>
  <c r="E40" i="125" s="1"/>
  <c r="D64" i="123"/>
  <c r="F64" i="123" s="1"/>
  <c r="D59" i="123"/>
  <c r="F59" i="123" s="1"/>
  <c r="F120" i="47"/>
  <c r="G14" i="125"/>
  <c r="C56" i="123"/>
  <c r="E56" i="123" s="1"/>
  <c r="D59" i="126"/>
  <c r="F59" i="126" s="1"/>
  <c r="G17" i="127"/>
  <c r="D36" i="125"/>
  <c r="F36" i="125" s="1"/>
  <c r="F59" i="47"/>
  <c r="G55" i="126"/>
  <c r="D38" i="124"/>
  <c r="F38" i="124" s="1"/>
  <c r="C65" i="126"/>
  <c r="E65" i="126" s="1"/>
  <c r="G45" i="123"/>
  <c r="D30" i="123"/>
  <c r="F30" i="123" s="1"/>
  <c r="D42" i="124"/>
  <c r="F42" i="124" s="1"/>
  <c r="G35" i="123"/>
  <c r="D65" i="125"/>
  <c r="F65" i="125" s="1"/>
  <c r="C41" i="127"/>
  <c r="E41" i="127" s="1"/>
  <c r="F104" i="47"/>
  <c r="G27" i="127"/>
  <c r="C43" i="125"/>
  <c r="E43" i="125" s="1"/>
  <c r="F16" i="47"/>
  <c r="C54" i="123"/>
  <c r="E54" i="123" s="1"/>
  <c r="F65" i="47"/>
  <c r="G33" i="125"/>
  <c r="F79" i="47"/>
  <c r="F38" i="47"/>
  <c r="G17" i="124"/>
  <c r="G20" i="123"/>
  <c r="D65" i="124"/>
  <c r="F65" i="124" s="1"/>
  <c r="G13" i="122"/>
  <c r="G52" i="125"/>
  <c r="G32" i="123"/>
  <c r="C36" i="125"/>
  <c r="E36" i="125" s="1"/>
  <c r="C31" i="124"/>
  <c r="E31" i="124" s="1"/>
  <c r="G60" i="127"/>
  <c r="D60" i="124"/>
  <c r="F60" i="124" s="1"/>
  <c r="C55" i="125"/>
  <c r="E55" i="125" s="1"/>
  <c r="C38" i="123"/>
  <c r="E38" i="123" s="1"/>
  <c r="G61" i="126"/>
  <c r="G53" i="123"/>
  <c r="F87" i="47"/>
  <c r="C35" i="124"/>
  <c r="E35" i="124" s="1"/>
  <c r="C32" i="125"/>
  <c r="E32" i="125" s="1"/>
  <c r="D42" i="123"/>
  <c r="F42" i="123" s="1"/>
  <c r="C49" i="124"/>
  <c r="E49" i="124" s="1"/>
  <c r="G56" i="127"/>
  <c r="C38" i="127"/>
  <c r="E38" i="127" s="1"/>
  <c r="G57" i="126"/>
  <c r="C44" i="125"/>
  <c r="E44" i="125" s="1"/>
  <c r="G33" i="126"/>
  <c r="D31" i="125"/>
  <c r="F31" i="125" s="1"/>
  <c r="G40" i="127"/>
  <c r="G6" i="125"/>
  <c r="G62" i="124"/>
  <c r="D33" i="124"/>
  <c r="F33" i="124" s="1"/>
  <c r="D58" i="125"/>
  <c r="F58" i="125" s="1"/>
  <c r="G23" i="126"/>
  <c r="D40" i="126"/>
  <c r="F40" i="126" s="1"/>
  <c r="G16" i="125"/>
  <c r="C50" i="127"/>
  <c r="E50" i="127" s="1"/>
  <c r="G37" i="123"/>
  <c r="D48" i="124"/>
  <c r="F48" i="124" s="1"/>
  <c r="G8" i="123"/>
  <c r="C46" i="127"/>
  <c r="E46" i="127" s="1"/>
  <c r="D32" i="124"/>
  <c r="F32" i="124" s="1"/>
  <c r="G23" i="124"/>
  <c r="G12" i="127"/>
  <c r="C53" i="123"/>
  <c r="E53" i="123" s="1"/>
  <c r="D50" i="126"/>
  <c r="F50" i="126" s="1"/>
  <c r="D66" i="127"/>
  <c r="F66" i="127" s="1"/>
  <c r="G55" i="124"/>
  <c r="D39" i="126"/>
  <c r="F39" i="126" s="1"/>
  <c r="G14" i="127"/>
  <c r="G63" i="124"/>
  <c r="C59" i="124"/>
  <c r="E59" i="124" s="1"/>
  <c r="G11" i="125"/>
  <c r="F31" i="47"/>
  <c r="C45" i="126"/>
  <c r="E45" i="126" s="1"/>
  <c r="D59" i="125"/>
  <c r="F59" i="125" s="1"/>
  <c r="G11" i="123"/>
  <c r="G31" i="127"/>
  <c r="D45" i="126"/>
  <c r="F45" i="126" s="1"/>
  <c r="G24" i="122"/>
  <c r="G54" i="124"/>
  <c r="G20" i="127"/>
  <c r="G30" i="124"/>
  <c r="C31" i="126"/>
  <c r="E31" i="126" s="1"/>
  <c r="D40" i="127"/>
  <c r="F40" i="127" s="1"/>
  <c r="D36" i="126"/>
  <c r="F36" i="126" s="1"/>
  <c r="C39" i="127"/>
  <c r="E39" i="127" s="1"/>
  <c r="C46" i="123"/>
  <c r="E46" i="123" s="1"/>
  <c r="C29" i="123"/>
  <c r="E29" i="123" s="1"/>
  <c r="G47" i="122"/>
  <c r="C37" i="124"/>
  <c r="E37" i="124" s="1"/>
  <c r="G18" i="122"/>
  <c r="G64" i="122"/>
  <c r="C59" i="123"/>
  <c r="E59" i="123" s="1"/>
  <c r="F100" i="47"/>
  <c r="G60" i="124"/>
  <c r="G24" i="125"/>
  <c r="F24" i="47"/>
  <c r="G34" i="122"/>
  <c r="F92" i="47"/>
  <c r="C53" i="126"/>
  <c r="E53" i="126" s="1"/>
  <c r="F51" i="47"/>
  <c r="C32" i="124"/>
  <c r="E32" i="124" s="1"/>
  <c r="D30" i="124"/>
  <c r="F30" i="124" s="1"/>
  <c r="G27" i="126"/>
  <c r="D63" i="124"/>
  <c r="F63" i="124" s="1"/>
  <c r="G48" i="123"/>
  <c r="G52" i="122"/>
  <c r="G60" i="126"/>
  <c r="F95" i="47"/>
  <c r="C44" i="126"/>
  <c r="E44" i="126" s="1"/>
  <c r="F134" i="47"/>
  <c r="G35" i="125"/>
  <c r="C48" i="124"/>
  <c r="E48" i="124" s="1"/>
  <c r="G61" i="127"/>
  <c r="G41" i="123"/>
  <c r="D65" i="123"/>
  <c r="F65" i="123" s="1"/>
  <c r="D50" i="123"/>
  <c r="F50" i="123" s="1"/>
  <c r="C52" i="123"/>
  <c r="E52" i="123" s="1"/>
  <c r="G39" i="123"/>
  <c r="G29" i="123"/>
  <c r="D66" i="126"/>
  <c r="F66" i="126" s="1"/>
  <c r="G34" i="123"/>
  <c r="F45" i="47"/>
  <c r="C41" i="125"/>
  <c r="E41" i="125" s="1"/>
  <c r="G32" i="127"/>
  <c r="C58" i="125"/>
  <c r="E58" i="125" s="1"/>
  <c r="G12" i="122"/>
  <c r="D58" i="127"/>
  <c r="F58" i="127" s="1"/>
  <c r="C45" i="125"/>
  <c r="E45" i="125" s="1"/>
  <c r="C63" i="127"/>
  <c r="E63" i="127" s="1"/>
  <c r="G63" i="122"/>
  <c r="D35" i="122"/>
  <c r="F35" i="122" s="1"/>
  <c r="F72" i="47"/>
  <c r="F90" i="47"/>
  <c r="G55" i="125"/>
  <c r="D43" i="127"/>
  <c r="F43" i="127" s="1"/>
  <c r="D50" i="127"/>
  <c r="F50" i="127" s="1"/>
  <c r="G38" i="123"/>
  <c r="D63" i="125"/>
  <c r="F63" i="125" s="1"/>
  <c r="D56" i="123"/>
  <c r="F56" i="123" s="1"/>
  <c r="D35" i="123"/>
  <c r="F35" i="123" s="1"/>
  <c r="G49" i="123"/>
  <c r="G19" i="124"/>
  <c r="G63" i="127"/>
  <c r="F86" i="47"/>
  <c r="G28" i="127"/>
  <c r="G9" i="123"/>
  <c r="C29" i="127"/>
  <c r="E29" i="127" s="1"/>
  <c r="F36" i="47"/>
  <c r="D35" i="124"/>
  <c r="F35" i="124" s="1"/>
  <c r="F119" i="47"/>
  <c r="C36" i="127"/>
  <c r="E36" i="127" s="1"/>
  <c r="D53" i="123"/>
  <c r="F53" i="123" s="1"/>
  <c r="F73" i="47"/>
  <c r="G52" i="123"/>
  <c r="G10" i="126"/>
  <c r="C47" i="124"/>
  <c r="E47" i="124" s="1"/>
  <c r="F46" i="47"/>
  <c r="D58" i="126"/>
  <c r="F58" i="126" s="1"/>
  <c r="D29" i="124"/>
  <c r="F29" i="124" s="1"/>
  <c r="C46" i="124"/>
  <c r="E46" i="124" s="1"/>
  <c r="F71" i="47"/>
  <c r="C33" i="127"/>
  <c r="E33" i="127" s="1"/>
  <c r="G42" i="125"/>
  <c r="G12" i="123"/>
  <c r="G21" i="124"/>
  <c r="G45" i="125"/>
  <c r="C56" i="124"/>
  <c r="E56" i="124" s="1"/>
  <c r="F76" i="47"/>
  <c r="F82" i="47"/>
  <c r="C47" i="123"/>
  <c r="E47" i="123" s="1"/>
  <c r="G53" i="122"/>
  <c r="F89" i="47"/>
  <c r="G26" i="122"/>
  <c r="G55" i="127"/>
  <c r="D66" i="122"/>
  <c r="F66" i="122" s="1"/>
  <c r="D45" i="122"/>
  <c r="F45" i="122" s="1"/>
  <c r="D43" i="122"/>
  <c r="F43" i="122" s="1"/>
  <c r="D53" i="122"/>
  <c r="F53" i="122" s="1"/>
  <c r="F125" i="47"/>
  <c r="D61" i="123"/>
  <c r="F61" i="123" s="1"/>
  <c r="C44" i="124"/>
  <c r="E44" i="124" s="1"/>
  <c r="G33" i="124"/>
  <c r="G54" i="127"/>
  <c r="G39" i="127"/>
  <c r="F67" i="47"/>
  <c r="D60" i="123"/>
  <c r="F60" i="123" s="1"/>
  <c r="D62" i="124"/>
  <c r="F62" i="124" s="1"/>
  <c r="D49" i="122"/>
  <c r="F49" i="122" s="1"/>
  <c r="D64" i="122"/>
  <c r="F64" i="122" s="1"/>
  <c r="D37" i="122"/>
  <c r="F37" i="122" s="1"/>
  <c r="D62" i="122"/>
  <c r="F62" i="122" s="1"/>
  <c r="D60" i="122"/>
  <c r="F60" i="122" s="1"/>
  <c r="D39" i="122"/>
  <c r="F39" i="122" s="1"/>
  <c r="D52" i="122"/>
  <c r="F52" i="122" s="1"/>
  <c r="F105" i="47"/>
  <c r="D36" i="124"/>
  <c r="F36" i="124" s="1"/>
  <c r="C61" i="127"/>
  <c r="E61" i="127" s="1"/>
  <c r="G27" i="122"/>
  <c r="C65" i="125"/>
  <c r="E65" i="125" s="1"/>
  <c r="C60" i="126"/>
  <c r="E60" i="126" s="1"/>
  <c r="G17" i="126"/>
  <c r="F19" i="47"/>
  <c r="F15" i="47"/>
  <c r="D46" i="126"/>
  <c r="F46" i="126" s="1"/>
  <c r="D35" i="125"/>
  <c r="F35" i="125" s="1"/>
  <c r="D57" i="127"/>
  <c r="F57" i="127" s="1"/>
  <c r="D59" i="124"/>
  <c r="F59" i="124" s="1"/>
  <c r="D52" i="126"/>
  <c r="F52" i="126" s="1"/>
  <c r="D42" i="125"/>
  <c r="F42" i="125" s="1"/>
  <c r="G41" i="127"/>
  <c r="D31" i="123"/>
  <c r="F31" i="123" s="1"/>
  <c r="G9" i="122"/>
  <c r="D38" i="125"/>
  <c r="F38" i="125" s="1"/>
  <c r="F117" i="47"/>
  <c r="D32" i="127"/>
  <c r="F32" i="127" s="1"/>
  <c r="G9" i="124"/>
  <c r="C54" i="125"/>
  <c r="E54" i="125" s="1"/>
  <c r="F28" i="47"/>
  <c r="G12" i="124"/>
  <c r="D33" i="125"/>
  <c r="F33" i="125" s="1"/>
  <c r="C66" i="127"/>
  <c r="E66" i="127" s="1"/>
  <c r="F66" i="47"/>
  <c r="C54" i="126"/>
  <c r="E54" i="126" s="1"/>
  <c r="D66" i="123"/>
  <c r="F66" i="123" s="1"/>
  <c r="G25" i="125"/>
  <c r="D63" i="127"/>
  <c r="F63" i="127" s="1"/>
  <c r="D33" i="123"/>
  <c r="F33" i="123" s="1"/>
  <c r="G16" i="123"/>
  <c r="G61" i="124"/>
  <c r="D47" i="123"/>
  <c r="F47" i="123" s="1"/>
  <c r="G6" i="122"/>
  <c r="G24" i="126"/>
  <c r="D41" i="127"/>
  <c r="F41" i="127" s="1"/>
  <c r="D31" i="127"/>
  <c r="F31" i="127" s="1"/>
  <c r="G66" i="123"/>
  <c r="C42" i="127"/>
  <c r="E42" i="127" s="1"/>
  <c r="C56" i="125"/>
  <c r="E56" i="125" s="1"/>
  <c r="D50" i="125"/>
  <c r="F50" i="125" s="1"/>
  <c r="C62" i="124"/>
  <c r="E62" i="124" s="1"/>
  <c r="D52" i="125"/>
  <c r="F52" i="125" s="1"/>
  <c r="D29" i="126"/>
  <c r="F29" i="126" s="1"/>
  <c r="D33" i="126"/>
  <c r="F33" i="126" s="1"/>
  <c r="G49" i="124"/>
  <c r="F127" i="47"/>
  <c r="C34" i="127"/>
  <c r="E34" i="127" s="1"/>
  <c r="D43" i="125"/>
  <c r="F43" i="125" s="1"/>
  <c r="G4" i="127"/>
  <c r="G3" i="123"/>
  <c r="C40" i="126"/>
  <c r="E40" i="126" s="1"/>
  <c r="G42" i="122"/>
  <c r="G59" i="127"/>
  <c r="G30" i="123"/>
  <c r="F57" i="47"/>
  <c r="G43" i="127"/>
  <c r="D66" i="124"/>
  <c r="F66" i="124" s="1"/>
  <c r="G8" i="124"/>
  <c r="F40" i="47"/>
  <c r="D32" i="123"/>
  <c r="F32" i="123" s="1"/>
  <c r="G6" i="124"/>
  <c r="F55" i="47"/>
  <c r="F115" i="47"/>
  <c r="G54" i="123"/>
  <c r="D49" i="126"/>
  <c r="F49" i="126" s="1"/>
  <c r="G39" i="125"/>
  <c r="G3" i="124"/>
  <c r="D62" i="123"/>
  <c r="F62" i="123" s="1"/>
  <c r="D32" i="126"/>
  <c r="F32" i="126" s="1"/>
  <c r="D60" i="127"/>
  <c r="F60" i="127" s="1"/>
  <c r="D63" i="126"/>
  <c r="F63" i="126" s="1"/>
  <c r="G46" i="125"/>
  <c r="F131" i="47"/>
  <c r="G32" i="124"/>
  <c r="F43" i="47"/>
  <c r="C30" i="124"/>
  <c r="E30" i="124" s="1"/>
  <c r="G50" i="124"/>
  <c r="G19" i="127"/>
  <c r="D50" i="122"/>
  <c r="F50" i="122" s="1"/>
  <c r="D33" i="122"/>
  <c r="F33" i="122" s="1"/>
  <c r="D48" i="122"/>
  <c r="F48" i="122" s="1"/>
  <c r="D63" i="122"/>
  <c r="F63" i="122" s="1"/>
  <c r="D58" i="122"/>
  <c r="F58" i="122" s="1"/>
  <c r="D57" i="122"/>
  <c r="F57" i="122" s="1"/>
  <c r="D30" i="122"/>
  <c r="F30" i="122" s="1"/>
  <c r="F84" i="47"/>
  <c r="G26" i="125"/>
  <c r="F63" i="47"/>
  <c r="D45" i="127"/>
  <c r="F45" i="127" s="1"/>
  <c r="C48" i="123"/>
  <c r="E48" i="123" s="1"/>
  <c r="C61" i="124"/>
  <c r="E61" i="124" s="1"/>
  <c r="G56" i="124"/>
  <c r="F53" i="47"/>
  <c r="G5" i="125"/>
  <c r="F110" i="47"/>
  <c r="G41" i="126"/>
  <c r="C31" i="127"/>
  <c r="E31" i="127" s="1"/>
  <c r="G44" i="125"/>
  <c r="C66" i="125"/>
  <c r="E66" i="125" s="1"/>
  <c r="G41" i="122"/>
  <c r="F47" i="47"/>
  <c r="G29" i="127"/>
  <c r="C41" i="126"/>
  <c r="E41" i="126" s="1"/>
  <c r="G61" i="122"/>
  <c r="D48" i="125"/>
  <c r="F48" i="125" s="1"/>
  <c r="F29" i="47"/>
  <c r="C33" i="126"/>
  <c r="E33" i="126" s="1"/>
  <c r="G23" i="122"/>
  <c r="G21" i="123"/>
  <c r="G16" i="126"/>
  <c r="D31" i="124"/>
  <c r="F31" i="124" s="1"/>
  <c r="F39" i="47"/>
  <c r="D42" i="126"/>
  <c r="F42" i="126" s="1"/>
  <c r="G8" i="122"/>
  <c r="G43" i="125"/>
  <c r="F96" i="47"/>
  <c r="G31" i="124"/>
  <c r="C40" i="124"/>
  <c r="E40" i="124" s="1"/>
  <c r="G44" i="127"/>
  <c r="F52" i="47"/>
  <c r="D52" i="123"/>
  <c r="F52" i="123" s="1"/>
  <c r="G64" i="126"/>
  <c r="C42" i="123"/>
  <c r="E42" i="123" s="1"/>
  <c r="G53" i="127"/>
  <c r="D37" i="123"/>
  <c r="F37" i="123" s="1"/>
  <c r="D34" i="123"/>
  <c r="F34" i="123" s="1"/>
  <c r="G22" i="125"/>
  <c r="C48" i="127"/>
  <c r="E48" i="127" s="1"/>
  <c r="G29" i="125"/>
  <c r="G50" i="127"/>
  <c r="G47" i="127"/>
  <c r="C34" i="123"/>
  <c r="E34" i="123" s="1"/>
  <c r="F68" i="47"/>
  <c r="G8" i="126"/>
  <c r="C36" i="124"/>
  <c r="E36" i="124" s="1"/>
  <c r="G47" i="124"/>
  <c r="G66" i="127"/>
  <c r="C55" i="126"/>
  <c r="E55" i="126" s="1"/>
  <c r="G9" i="126"/>
  <c r="G6" i="123"/>
  <c r="C57" i="127"/>
  <c r="E57" i="127" s="1"/>
  <c r="G18" i="127"/>
  <c r="D66" i="125"/>
  <c r="F66" i="125" s="1"/>
  <c r="G25" i="127"/>
  <c r="D54" i="123"/>
  <c r="F54" i="123" s="1"/>
  <c r="D50" i="124"/>
  <c r="F50" i="124" s="1"/>
  <c r="C64" i="125"/>
  <c r="E64" i="125" s="1"/>
  <c r="D62" i="127"/>
  <c r="F62" i="127" s="1"/>
  <c r="C66" i="124"/>
  <c r="E66" i="124" s="1"/>
  <c r="D55" i="124"/>
  <c r="F55" i="124" s="1"/>
  <c r="D30" i="127"/>
  <c r="F30" i="127" s="1"/>
  <c r="G49" i="125"/>
  <c r="G38" i="122"/>
  <c r="G14" i="123"/>
  <c r="D37" i="124"/>
  <c r="F37" i="124" s="1"/>
  <c r="F49" i="47"/>
  <c r="F114" i="47"/>
  <c r="G60" i="125"/>
  <c r="F121" i="47"/>
  <c r="G31" i="126"/>
  <c r="G15" i="123"/>
  <c r="G7" i="126"/>
  <c r="G65" i="124"/>
  <c r="G34" i="124"/>
  <c r="D39" i="127"/>
  <c r="F39" i="127" s="1"/>
  <c r="G17" i="125"/>
  <c r="D65" i="122"/>
  <c r="F65" i="122" s="1"/>
  <c r="D40" i="122"/>
  <c r="F40" i="122" s="1"/>
  <c r="D34" i="122"/>
  <c r="F34" i="122" s="1"/>
  <c r="D29" i="122"/>
  <c r="F29" i="122" s="1"/>
  <c r="G20" i="125"/>
  <c r="G26" i="127"/>
  <c r="G10" i="125"/>
  <c r="C30" i="127"/>
  <c r="E30" i="127" s="1"/>
  <c r="G47" i="123"/>
  <c r="D57" i="123"/>
  <c r="F57" i="123" s="1"/>
  <c r="C62" i="125"/>
  <c r="E62" i="125" s="1"/>
  <c r="C51" i="123"/>
  <c r="E51" i="123" s="1"/>
  <c r="G26" i="124"/>
  <c r="G58" i="127"/>
  <c r="F35" i="47"/>
  <c r="G18" i="126"/>
  <c r="G22" i="126"/>
  <c r="C33" i="124"/>
  <c r="E33" i="124" s="1"/>
  <c r="D64" i="127"/>
  <c r="F64" i="127" s="1"/>
  <c r="D53" i="127"/>
  <c r="F53" i="127" s="1"/>
  <c r="C64" i="127"/>
  <c r="E64" i="127" s="1"/>
  <c r="C57" i="126"/>
  <c r="E57" i="126" s="1"/>
  <c r="C45" i="127"/>
  <c r="E45" i="127" s="1"/>
  <c r="C45" i="124"/>
  <c r="E45" i="124" s="1"/>
  <c r="G18" i="123"/>
  <c r="G37" i="127"/>
  <c r="D62" i="125"/>
  <c r="F62" i="125" s="1"/>
  <c r="F32" i="47"/>
  <c r="G66" i="126"/>
  <c r="F91" i="47"/>
  <c r="G15" i="125"/>
  <c r="G13" i="125"/>
  <c r="F26" i="47"/>
  <c r="G41" i="124"/>
  <c r="F103" i="47"/>
  <c r="C55" i="123"/>
  <c r="E55" i="123" s="1"/>
  <c r="C49" i="125"/>
  <c r="E49" i="125" s="1"/>
  <c r="G18" i="125"/>
  <c r="G64" i="124"/>
  <c r="F111" i="47"/>
  <c r="G22" i="123"/>
  <c r="D56" i="124"/>
  <c r="F56" i="124" s="1"/>
  <c r="G53" i="126"/>
  <c r="D60" i="125"/>
  <c r="F60" i="125" s="1"/>
  <c r="F101" i="47"/>
  <c r="G23" i="127"/>
  <c r="D54" i="126"/>
  <c r="F54" i="126" s="1"/>
  <c r="D47" i="124"/>
  <c r="F47" i="124" s="1"/>
  <c r="C37" i="126"/>
  <c r="E37" i="126" s="1"/>
  <c r="F81" i="47"/>
  <c r="G54" i="122"/>
  <c r="D58" i="123"/>
  <c r="F58" i="123" s="1"/>
  <c r="D63" i="123"/>
  <c r="F63" i="123" s="1"/>
  <c r="C35" i="125"/>
  <c r="E35" i="125" s="1"/>
  <c r="F74" i="47"/>
  <c r="F118" i="47"/>
  <c r="C30" i="125"/>
  <c r="E30" i="125" s="1"/>
  <c r="G58" i="125"/>
  <c r="D51" i="124"/>
  <c r="F51" i="124" s="1"/>
  <c r="C49" i="127"/>
  <c r="E49" i="127" s="1"/>
  <c r="G26" i="126"/>
  <c r="G13" i="127"/>
  <c r="G30" i="127"/>
  <c r="D51" i="127"/>
  <c r="F51" i="127" s="1"/>
  <c r="G53" i="125"/>
  <c r="G12" i="126"/>
  <c r="G44" i="126"/>
  <c r="G19" i="125"/>
  <c r="G5" i="123"/>
  <c r="C56" i="126"/>
  <c r="E56" i="126" s="1"/>
  <c r="C47" i="126"/>
  <c r="E47" i="126" s="1"/>
  <c r="G10" i="124"/>
  <c r="G34" i="125"/>
  <c r="G36" i="122"/>
  <c r="G32" i="125"/>
  <c r="F102" i="47"/>
  <c r="G59" i="126"/>
  <c r="G25" i="124"/>
  <c r="G65" i="126"/>
  <c r="G7" i="127"/>
  <c r="C51" i="124"/>
  <c r="E51" i="124" s="1"/>
  <c r="D56" i="126"/>
  <c r="F56" i="126" s="1"/>
  <c r="G36" i="127"/>
  <c r="C39" i="124"/>
  <c r="E39" i="124" s="1"/>
  <c r="G7" i="124"/>
  <c r="F21" i="47"/>
  <c r="G4" i="125"/>
  <c r="G65" i="127"/>
  <c r="F64" i="47"/>
  <c r="G13" i="126"/>
  <c r="D53" i="125"/>
  <c r="F53" i="125" s="1"/>
  <c r="G56" i="126"/>
  <c r="D46" i="127"/>
  <c r="F46" i="127" s="1"/>
  <c r="C36" i="126"/>
  <c r="E36" i="126" s="1"/>
  <c r="C32" i="123"/>
  <c r="E32" i="123" s="1"/>
  <c r="F108" i="47"/>
  <c r="G7" i="125"/>
  <c r="C62" i="127"/>
  <c r="E62" i="127" s="1"/>
  <c r="G24" i="124"/>
  <c r="G15" i="127"/>
  <c r="F135" i="47"/>
  <c r="F20" i="47"/>
  <c r="G39" i="122"/>
  <c r="F94" i="47"/>
  <c r="F12" i="47"/>
  <c r="G29" i="124"/>
  <c r="F124" i="47"/>
  <c r="G59" i="122"/>
  <c r="G11" i="126"/>
  <c r="G15" i="124"/>
  <c r="G29" i="126"/>
  <c r="G63" i="126"/>
  <c r="G3" i="127"/>
  <c r="D49" i="127"/>
  <c r="F49" i="127" s="1"/>
  <c r="G61" i="123"/>
  <c r="C59" i="125"/>
  <c r="E59" i="125" s="1"/>
  <c r="D46" i="122"/>
  <c r="F46" i="122" s="1"/>
  <c r="D44" i="122"/>
  <c r="F44" i="122" s="1"/>
  <c r="D54" i="122"/>
  <c r="F54" i="122" s="1"/>
  <c r="C43" i="126"/>
  <c r="E43" i="126" s="1"/>
  <c r="G28" i="124"/>
  <c r="C53" i="124"/>
  <c r="E53" i="124" s="1"/>
  <c r="C54" i="124"/>
  <c r="E54" i="124" s="1"/>
  <c r="G22" i="124"/>
  <c r="G38" i="125"/>
  <c r="D30" i="125"/>
  <c r="F30" i="125" s="1"/>
  <c r="F138" i="47"/>
  <c r="F106" i="47"/>
  <c r="C40" i="123"/>
  <c r="E40" i="123" s="1"/>
  <c r="D32" i="122"/>
  <c r="F32" i="122" s="1"/>
  <c r="D47" i="122"/>
  <c r="F47" i="122" s="1"/>
  <c r="D42" i="122"/>
  <c r="F42" i="122" s="1"/>
  <c r="D41" i="122"/>
  <c r="F41" i="122" s="1"/>
  <c r="D56" i="122"/>
  <c r="F56" i="122" s="1"/>
  <c r="D55" i="122"/>
  <c r="F55" i="122" s="1"/>
  <c r="D61" i="122"/>
  <c r="F61" i="122" s="1"/>
  <c r="D59" i="122"/>
  <c r="F59" i="122" s="1"/>
  <c r="D38" i="122"/>
  <c r="F38" i="122" s="1"/>
  <c r="D51" i="122"/>
  <c r="F51" i="122" s="1"/>
  <c r="F11" i="47"/>
  <c r="G49" i="122"/>
  <c r="F123" i="47"/>
  <c r="G28" i="125"/>
  <c r="G53" i="124"/>
  <c r="D57" i="125"/>
  <c r="F57" i="125" s="1"/>
  <c r="F69" i="47"/>
  <c r="F99" i="47"/>
  <c r="C66" i="123"/>
  <c r="E66" i="123" s="1"/>
  <c r="G59" i="124"/>
  <c r="G42" i="124"/>
  <c r="G6" i="126"/>
  <c r="G57" i="127"/>
  <c r="G63" i="123"/>
  <c r="G48" i="122"/>
  <c r="G27" i="125"/>
  <c r="G14" i="126"/>
  <c r="F83" i="47"/>
  <c r="C31" i="123"/>
  <c r="E31" i="123" s="1"/>
  <c r="D33" i="127"/>
  <c r="F33" i="127" s="1"/>
  <c r="G41" i="125"/>
  <c r="C53" i="127"/>
  <c r="E53" i="127" s="1"/>
  <c r="G26" i="123"/>
  <c r="F48" i="47"/>
  <c r="D36" i="123"/>
  <c r="F36" i="123" s="1"/>
  <c r="D49" i="123"/>
  <c r="F49" i="123" s="1"/>
  <c r="F112" i="47"/>
  <c r="C55" i="124"/>
  <c r="E55" i="124" s="1"/>
  <c r="G10" i="122"/>
  <c r="C62" i="123"/>
  <c r="E62" i="123" s="1"/>
  <c r="C32" i="127"/>
  <c r="E32" i="127" s="1"/>
  <c r="C29" i="125"/>
  <c r="E29" i="125" s="1"/>
  <c r="D57" i="124"/>
  <c r="F57" i="124" s="1"/>
  <c r="G23" i="123"/>
  <c r="G55" i="122"/>
  <c r="G59" i="125"/>
  <c r="C57" i="125"/>
  <c r="E57" i="125" s="1"/>
  <c r="G48" i="124"/>
  <c r="G37" i="122"/>
  <c r="C46" i="125"/>
  <c r="E46" i="125" s="1"/>
  <c r="G54" i="126"/>
  <c r="G51" i="122"/>
  <c r="G25" i="126"/>
  <c r="G4" i="124"/>
  <c r="D54" i="127"/>
  <c r="F54" i="127" s="1"/>
  <c r="D60" i="126"/>
  <c r="F60" i="126" s="1"/>
  <c r="G17" i="123"/>
  <c r="D61" i="126"/>
  <c r="F61" i="126" s="1"/>
  <c r="C39" i="123"/>
  <c r="E39" i="123" s="1"/>
  <c r="D45" i="125"/>
  <c r="F45" i="125" s="1"/>
  <c r="G65" i="122"/>
  <c r="C43" i="127"/>
  <c r="E43" i="127" s="1"/>
  <c r="F58" i="47"/>
  <c r="G7" i="123"/>
  <c r="C65" i="127"/>
  <c r="E65" i="127" s="1"/>
  <c r="F75" i="47"/>
  <c r="G52" i="127"/>
  <c r="G24" i="123"/>
  <c r="C50" i="123"/>
  <c r="E50" i="123" s="1"/>
  <c r="C52" i="127"/>
  <c r="E52" i="127" s="1"/>
  <c r="C30" i="123"/>
  <c r="E30" i="123" s="1"/>
  <c r="D39" i="123"/>
  <c r="F39" i="123" s="1"/>
  <c r="G13" i="124"/>
  <c r="G28" i="126"/>
  <c r="G31" i="122"/>
  <c r="G11" i="124"/>
  <c r="F85" i="47"/>
  <c r="G56" i="125"/>
  <c r="G33" i="122"/>
  <c r="G43" i="124"/>
  <c r="G10" i="123"/>
  <c r="D47" i="126"/>
  <c r="F47" i="126" s="1"/>
  <c r="D61" i="127"/>
  <c r="F61" i="127" s="1"/>
  <c r="G58" i="124"/>
  <c r="C53" i="125"/>
  <c r="E53" i="125" s="1"/>
  <c r="G8" i="125"/>
  <c r="G38" i="127"/>
  <c r="G21" i="125"/>
  <c r="F37" i="47"/>
  <c r="G46" i="123"/>
  <c r="G18" i="124"/>
  <c r="F78" i="47"/>
  <c r="G34" i="127"/>
  <c r="D46" i="124"/>
  <c r="F46" i="124" s="1"/>
  <c r="D38" i="123"/>
  <c r="F38" i="123" s="1"/>
  <c r="G62" i="125"/>
  <c r="G36" i="125"/>
  <c r="D64" i="124"/>
  <c r="F64" i="124" s="1"/>
  <c r="G57" i="125"/>
  <c r="C40" i="127"/>
  <c r="E40" i="127" s="1"/>
  <c r="D55" i="125"/>
  <c r="F55" i="125" s="1"/>
  <c r="F113" i="47"/>
  <c r="D61" i="125"/>
  <c r="F61" i="125" s="1"/>
  <c r="D57" i="126"/>
  <c r="F57" i="126" s="1"/>
  <c r="C35" i="123"/>
  <c r="E35" i="123" s="1"/>
  <c r="D55" i="126"/>
  <c r="F55" i="126" s="1"/>
  <c r="E2" i="115"/>
  <c r="C64" i="123"/>
  <c r="E64" i="123" s="1"/>
  <c r="G64" i="125"/>
  <c r="C60" i="124"/>
  <c r="E60" i="124" s="1"/>
  <c r="D44" i="124"/>
  <c r="F44" i="124" s="1"/>
  <c r="G42" i="123"/>
  <c r="D59" i="127"/>
  <c r="F59" i="127" s="1"/>
  <c r="D54" i="124"/>
  <c r="F54" i="124" s="1"/>
  <c r="D46" i="123"/>
  <c r="F46" i="123" s="1"/>
  <c r="G37" i="126"/>
  <c r="C50" i="124"/>
  <c r="E50" i="124" s="1"/>
  <c r="D34" i="126"/>
  <c r="F34" i="126" s="1"/>
  <c r="C35" i="127"/>
  <c r="E35" i="127" s="1"/>
  <c r="G30" i="126"/>
  <c r="D44" i="123"/>
  <c r="F44" i="123" s="1"/>
  <c r="C33" i="125"/>
  <c r="E33" i="125" s="1"/>
  <c r="F60" i="47"/>
  <c r="D44" i="126"/>
  <c r="F44" i="126" s="1"/>
  <c r="G7" i="122"/>
  <c r="G25" i="122"/>
  <c r="G24" i="127"/>
  <c r="G59" i="123"/>
  <c r="G40" i="122"/>
  <c r="G62" i="127"/>
  <c r="G11" i="127"/>
  <c r="C45" i="123"/>
  <c r="E45" i="123" s="1"/>
  <c r="D51" i="125"/>
  <c r="F51" i="125" s="1"/>
  <c r="F98" i="47"/>
  <c r="G50" i="126"/>
  <c r="D65" i="127"/>
  <c r="F65" i="127" s="1"/>
  <c r="D29" i="127"/>
  <c r="F29" i="127" s="1"/>
  <c r="F62" i="47"/>
  <c r="G56" i="123"/>
  <c r="C50" i="125"/>
  <c r="E50" i="125" s="1"/>
  <c r="G3" i="125"/>
  <c r="C59" i="126"/>
  <c r="E59" i="126" s="1"/>
  <c r="D47" i="127"/>
  <c r="F47" i="127" s="1"/>
  <c r="C42" i="124"/>
  <c r="E42" i="124" s="1"/>
  <c r="G62" i="126"/>
  <c r="G29" i="122"/>
  <c r="G35" i="126"/>
  <c r="G11" i="122"/>
  <c r="C49" i="126"/>
  <c r="E49" i="126" s="1"/>
  <c r="G33" i="123"/>
  <c r="G51" i="125"/>
  <c r="D43" i="126"/>
  <c r="F43" i="126" s="1"/>
  <c r="C36" i="123"/>
  <c r="E36" i="123" s="1"/>
  <c r="D56" i="127"/>
  <c r="F56" i="127" s="1"/>
  <c r="F136" i="47"/>
  <c r="G58" i="123"/>
  <c r="D36" i="127"/>
  <c r="F36" i="127" s="1"/>
  <c r="D41" i="124"/>
  <c r="F41" i="124" s="1"/>
  <c r="D32" i="125"/>
  <c r="F32" i="125" s="1"/>
  <c r="F27" i="47"/>
  <c r="C61" i="126"/>
  <c r="E61" i="126" s="1"/>
  <c r="G44" i="123"/>
  <c r="C60" i="127"/>
  <c r="E60" i="127" s="1"/>
  <c r="G46" i="124"/>
  <c r="F97" i="47"/>
  <c r="C61" i="123"/>
  <c r="E61" i="123" s="1"/>
  <c r="G63" i="125"/>
  <c r="G46" i="122"/>
  <c r="D51" i="123"/>
  <c r="F51" i="123" s="1"/>
  <c r="D38" i="126"/>
  <c r="F38" i="126" s="1"/>
  <c r="C41" i="124"/>
  <c r="E41" i="124" s="1"/>
  <c r="G46" i="127"/>
  <c r="G32" i="122"/>
  <c r="C51" i="127"/>
  <c r="E51" i="127" s="1"/>
  <c r="F18" i="47"/>
  <c r="G51" i="126"/>
  <c r="G22" i="122"/>
  <c r="G66" i="125"/>
  <c r="C62" i="126"/>
  <c r="E62" i="126" s="1"/>
  <c r="C54" i="127"/>
  <c r="E54" i="127" s="1"/>
  <c r="C63" i="125"/>
  <c r="E63" i="125" s="1"/>
  <c r="D38" i="127"/>
  <c r="F38" i="127" s="1"/>
  <c r="G47" i="125"/>
  <c r="C34" i="126"/>
  <c r="E34" i="126" s="1"/>
  <c r="G28" i="123"/>
  <c r="G42" i="126"/>
  <c r="D31" i="122"/>
  <c r="F31" i="122" s="1"/>
  <c r="D36" i="122"/>
  <c r="F36" i="122" s="1"/>
  <c r="D51" i="126"/>
  <c r="F51" i="126" s="1"/>
  <c r="D52" i="127"/>
  <c r="F52" i="127" s="1"/>
  <c r="C42" i="125"/>
  <c r="E42" i="125" s="1"/>
  <c r="D62" i="126"/>
  <c r="F62" i="126" s="1"/>
  <c r="C29" i="126"/>
  <c r="E29" i="126" s="1"/>
  <c r="G38" i="124"/>
  <c r="G40" i="126"/>
  <c r="D48" i="127"/>
  <c r="F48" i="127" s="1"/>
  <c r="G45" i="127"/>
  <c r="C43" i="124"/>
  <c r="E43" i="124" s="1"/>
  <c r="F137" i="47"/>
  <c r="C66" i="126"/>
  <c r="E66" i="126" s="1"/>
  <c r="G31" i="125"/>
  <c r="G62" i="123"/>
  <c r="F56" i="47"/>
  <c r="C43" i="123"/>
  <c r="E43" i="123" s="1"/>
  <c r="D29" i="125"/>
  <c r="F29" i="125" s="1"/>
  <c r="G58" i="126"/>
  <c r="G3" i="122"/>
  <c r="F30" i="47"/>
  <c r="D58" i="124"/>
  <c r="F58" i="124" s="1"/>
  <c r="G22" i="127"/>
  <c r="G20" i="122"/>
  <c r="G58" i="122"/>
  <c r="G21" i="126"/>
  <c r="G56" i="122"/>
  <c r="G43" i="123"/>
  <c r="G50" i="125"/>
  <c r="G40" i="124"/>
  <c r="G39" i="126"/>
  <c r="G36" i="124"/>
  <c r="G44" i="122"/>
  <c r="C48" i="126"/>
  <c r="E48" i="126" s="1"/>
  <c r="C38" i="125"/>
  <c r="E38" i="125" s="1"/>
  <c r="G9" i="125"/>
  <c r="F25" i="47"/>
  <c r="G43" i="126"/>
  <c r="C44" i="123"/>
  <c r="E44" i="123" s="1"/>
  <c r="G30" i="122"/>
  <c r="G60" i="122"/>
  <c r="C44" i="127"/>
  <c r="E44" i="127" s="1"/>
  <c r="G65" i="123"/>
  <c r="G19" i="126"/>
  <c r="F129" i="47"/>
  <c r="G45" i="126"/>
  <c r="D41" i="123"/>
  <c r="F41" i="123" s="1"/>
  <c r="G9" i="127"/>
  <c r="G5" i="124"/>
  <c r="G20" i="124"/>
  <c r="G51" i="123"/>
  <c r="F61" i="47"/>
  <c r="G39" i="124"/>
  <c r="G14" i="124"/>
  <c r="C58" i="123"/>
  <c r="E58" i="123" s="1"/>
  <c r="G34" i="126"/>
  <c r="C41" i="123"/>
  <c r="E41" i="123" s="1"/>
  <c r="D46" i="125"/>
  <c r="F46" i="125" s="1"/>
  <c r="G57" i="123"/>
  <c r="G49" i="127"/>
  <c r="D44" i="125"/>
  <c r="F44" i="125" s="1"/>
  <c r="C64" i="126"/>
  <c r="E64" i="126" s="1"/>
  <c r="G27" i="124"/>
  <c r="D65" i="126"/>
  <c r="F65" i="126" s="1"/>
  <c r="G8" i="127"/>
  <c r="G64" i="123"/>
  <c r="C47" i="127"/>
  <c r="E47" i="127" s="1"/>
  <c r="G57" i="122"/>
  <c r="C34" i="125"/>
  <c r="E34" i="125" s="1"/>
  <c r="C55" i="127"/>
  <c r="E55" i="127" s="1"/>
  <c r="G62" i="122"/>
  <c r="G51" i="127"/>
  <c r="G14" i="122"/>
  <c r="G25" i="123"/>
  <c r="G49" i="126"/>
  <c r="D41" i="125"/>
  <c r="F41" i="125" s="1"/>
  <c r="C51" i="125"/>
  <c r="E51" i="125" s="1"/>
  <c r="D64" i="125"/>
  <c r="F64" i="125" s="1"/>
  <c r="G52" i="124"/>
  <c r="G38" i="126"/>
  <c r="C61" i="125"/>
  <c r="E61" i="125" s="1"/>
  <c r="D55" i="123"/>
  <c r="F55" i="123" s="1"/>
  <c r="D47" i="125"/>
  <c r="F47" i="125" s="1"/>
  <c r="C39" i="125"/>
  <c r="E39" i="125" s="1"/>
  <c r="G52" i="126"/>
  <c r="C64" i="124"/>
  <c r="E64" i="124" s="1"/>
  <c r="F13" i="47"/>
  <c r="C63" i="124"/>
  <c r="E63" i="124" s="1"/>
  <c r="C52" i="124"/>
  <c r="E52" i="124" s="1"/>
  <c r="C47" i="125"/>
  <c r="E47" i="125" s="1"/>
  <c r="F80" i="47"/>
  <c r="G33" i="127"/>
  <c r="G21" i="122"/>
  <c r="C33" i="123"/>
  <c r="E33" i="123" s="1"/>
  <c r="G21" i="127"/>
  <c r="B46" i="128"/>
  <c r="A46" i="131"/>
  <c r="D46" i="128"/>
  <c r="D34" i="128"/>
  <c r="B34" i="128"/>
  <c r="A34" i="131"/>
  <c r="D78" i="128"/>
  <c r="A78" i="131"/>
  <c r="E78" i="128"/>
  <c r="B78" i="128"/>
  <c r="A41" i="131"/>
  <c r="D41" i="128"/>
  <c r="B41" i="128"/>
  <c r="A70" i="131"/>
  <c r="D70" i="128"/>
  <c r="E70" i="128"/>
  <c r="B70" i="128"/>
  <c r="A6" i="131"/>
  <c r="D6" i="128"/>
  <c r="B6" i="128"/>
  <c r="C50" i="122"/>
  <c r="E50" i="122" s="1"/>
  <c r="C65" i="122"/>
  <c r="E65" i="122" s="1"/>
  <c r="C64" i="122"/>
  <c r="E64" i="122" s="1"/>
  <c r="C63" i="122"/>
  <c r="E63" i="122" s="1"/>
  <c r="C43" i="122"/>
  <c r="E43" i="122" s="1"/>
  <c r="C58" i="122"/>
  <c r="E58" i="122" s="1"/>
  <c r="C57" i="122"/>
  <c r="E57" i="122" s="1"/>
  <c r="C35" i="122"/>
  <c r="E35" i="122" s="1"/>
  <c r="C54" i="122"/>
  <c r="E54" i="122" s="1"/>
  <c r="C30" i="122"/>
  <c r="E30" i="122" s="1"/>
  <c r="C29" i="122"/>
  <c r="E29" i="122" s="1"/>
  <c r="C44" i="122"/>
  <c r="E44" i="122" s="1"/>
  <c r="C66" i="122"/>
  <c r="E66" i="122" s="1"/>
  <c r="C38" i="122"/>
  <c r="E38" i="122" s="1"/>
  <c r="C59" i="122"/>
  <c r="E59" i="122" s="1"/>
  <c r="C53" i="122"/>
  <c r="E53" i="122" s="1"/>
  <c r="C40" i="122"/>
  <c r="E40" i="122" s="1"/>
  <c r="C39" i="122"/>
  <c r="E39" i="122" s="1"/>
  <c r="C36" i="122"/>
  <c r="E36" i="122" s="1"/>
  <c r="C51" i="122"/>
  <c r="E51" i="122" s="1"/>
  <c r="C46" i="122"/>
  <c r="E46" i="122" s="1"/>
  <c r="C45" i="122"/>
  <c r="E45" i="122" s="1"/>
  <c r="C60" i="122"/>
  <c r="E60" i="122" s="1"/>
  <c r="C33" i="122"/>
  <c r="E33" i="122" s="1"/>
  <c r="C31" i="122"/>
  <c r="E31" i="122" s="1"/>
  <c r="C56" i="122"/>
  <c r="E56" i="122" s="1"/>
  <c r="C52" i="122"/>
  <c r="E52" i="122" s="1"/>
  <c r="C61" i="122"/>
  <c r="E61" i="122" s="1"/>
  <c r="C49" i="122"/>
  <c r="E49" i="122" s="1"/>
  <c r="C47" i="122"/>
  <c r="E47" i="122" s="1"/>
  <c r="C42" i="122"/>
  <c r="E42" i="122" s="1"/>
  <c r="C32" i="122"/>
  <c r="E32" i="122" s="1"/>
  <c r="C55" i="122"/>
  <c r="E55" i="122" s="1"/>
  <c r="C37" i="122"/>
  <c r="E37" i="122" s="1"/>
  <c r="C62" i="122"/>
  <c r="E62" i="122" s="1"/>
  <c r="C34" i="122"/>
  <c r="E34" i="122" s="1"/>
  <c r="C48" i="122"/>
  <c r="E48" i="122" s="1"/>
  <c r="C41" i="122"/>
  <c r="E41" i="122" s="1"/>
  <c r="S7" i="47"/>
  <c r="A75" i="131"/>
  <c r="D75" i="128"/>
  <c r="B75" i="128"/>
  <c r="E75" i="128"/>
  <c r="D42" i="128"/>
  <c r="A42" i="131"/>
  <c r="B42" i="128"/>
  <c r="D37" i="128"/>
  <c r="A37" i="131"/>
  <c r="B37" i="128"/>
  <c r="B115" i="128"/>
  <c r="E115" i="128"/>
  <c r="D115" i="128"/>
  <c r="A115" i="131"/>
  <c r="A26" i="131"/>
  <c r="B26" i="128"/>
  <c r="D26" i="128"/>
  <c r="D7" i="128"/>
  <c r="B7" i="128"/>
  <c r="A7" i="131"/>
  <c r="D33" i="128"/>
  <c r="B33" i="128"/>
  <c r="A33" i="131"/>
  <c r="B12" i="128"/>
  <c r="A12" i="131"/>
  <c r="D12" i="128"/>
  <c r="E128" i="128"/>
  <c r="A128" i="131"/>
  <c r="B128" i="128"/>
  <c r="D128" i="128"/>
  <c r="A19" i="131"/>
  <c r="D19" i="128"/>
  <c r="B19" i="128"/>
  <c r="C28" i="122"/>
  <c r="E28" i="122" l="1"/>
  <c r="N28" i="122" s="1"/>
  <c r="F20" i="112"/>
  <c r="F45" i="112"/>
  <c r="F10" i="112"/>
  <c r="F11" i="112"/>
  <c r="F34" i="112"/>
  <c r="F15" i="112"/>
  <c r="F6" i="112"/>
  <c r="F40" i="112"/>
  <c r="F12" i="112"/>
  <c r="F41" i="112"/>
  <c r="F32" i="112"/>
  <c r="F44" i="112"/>
  <c r="F37" i="112"/>
  <c r="F27" i="112"/>
  <c r="F31" i="112"/>
  <c r="F43" i="112"/>
  <c r="F13" i="112"/>
  <c r="F14" i="112"/>
  <c r="F53" i="112"/>
  <c r="F35" i="112"/>
  <c r="F18" i="112"/>
  <c r="F9" i="112"/>
  <c r="F36" i="112"/>
  <c r="F4" i="112"/>
  <c r="F46" i="112"/>
  <c r="F39" i="112"/>
  <c r="F8" i="112"/>
  <c r="F21" i="112"/>
  <c r="F23" i="112"/>
  <c r="F17" i="112"/>
  <c r="F30" i="112"/>
  <c r="F54" i="112"/>
  <c r="F50" i="112"/>
  <c r="F42" i="112"/>
  <c r="F48" i="112"/>
  <c r="F47" i="112"/>
  <c r="F7" i="112"/>
  <c r="F52" i="112"/>
  <c r="F26" i="112"/>
  <c r="F25" i="112"/>
  <c r="F19" i="112"/>
  <c r="F28" i="112"/>
  <c r="F33" i="112"/>
  <c r="F29" i="112"/>
  <c r="F16" i="112"/>
  <c r="F51" i="112"/>
  <c r="F24" i="112"/>
  <c r="F22" i="112"/>
  <c r="F38" i="112"/>
  <c r="F49" i="112"/>
  <c r="BC19" i="131"/>
  <c r="C19" i="131"/>
  <c r="BL19" i="131"/>
  <c r="BM19" i="131"/>
  <c r="B19" i="131"/>
  <c r="BD19" i="131"/>
  <c r="BN19" i="131"/>
  <c r="BE19" i="131"/>
  <c r="BE12" i="131"/>
  <c r="BD12" i="131"/>
  <c r="BC12" i="131"/>
  <c r="B12" i="131"/>
  <c r="BL12" i="131"/>
  <c r="BN12" i="131"/>
  <c r="C12" i="131"/>
  <c r="BM12" i="131"/>
  <c r="N34" i="122"/>
  <c r="M34" i="122"/>
  <c r="L34" i="122"/>
  <c r="L55" i="122"/>
  <c r="M55" i="122"/>
  <c r="N55" i="122"/>
  <c r="N42" i="122"/>
  <c r="L42" i="122"/>
  <c r="M42" i="122"/>
  <c r="M61" i="122"/>
  <c r="N61" i="122"/>
  <c r="L61" i="122"/>
  <c r="L45" i="122"/>
  <c r="N45" i="122"/>
  <c r="M45" i="122"/>
  <c r="L36" i="122"/>
  <c r="N36" i="122"/>
  <c r="M36" i="122"/>
  <c r="L59" i="122"/>
  <c r="M59" i="122"/>
  <c r="N59" i="122"/>
  <c r="BC7" i="131"/>
  <c r="BN7" i="131"/>
  <c r="BM7" i="131"/>
  <c r="C7" i="131"/>
  <c r="BD7" i="131"/>
  <c r="B7" i="131"/>
  <c r="BE7" i="131"/>
  <c r="BL7" i="131"/>
  <c r="C26" i="131"/>
  <c r="B26" i="131"/>
  <c r="BD26" i="131"/>
  <c r="BL26" i="131"/>
  <c r="BC26" i="131"/>
  <c r="BN26" i="131"/>
  <c r="BM26" i="131"/>
  <c r="BE26" i="131"/>
  <c r="BD42" i="131"/>
  <c r="BN42" i="131"/>
  <c r="B42" i="131"/>
  <c r="BM42" i="131"/>
  <c r="BE42" i="131"/>
  <c r="BL42" i="131"/>
  <c r="C42" i="131"/>
  <c r="BC42" i="131"/>
  <c r="U75" i="131"/>
  <c r="AL75" i="131"/>
  <c r="AT75" i="131"/>
  <c r="J75" i="131"/>
  <c r="P75" i="131"/>
  <c r="BC75" i="131"/>
  <c r="BE75" i="131"/>
  <c r="AU75" i="131"/>
  <c r="B75" i="131"/>
  <c r="H75" i="131"/>
  <c r="G75" i="131"/>
  <c r="Q75" i="131"/>
  <c r="AD75" i="131"/>
  <c r="AB75" i="131"/>
  <c r="N75" i="131"/>
  <c r="AC75" i="131"/>
  <c r="S75" i="131"/>
  <c r="T75" i="131"/>
  <c r="AV75" i="131"/>
  <c r="I75" i="131"/>
  <c r="BD75" i="131"/>
  <c r="AK75" i="131"/>
  <c r="BN75" i="131"/>
  <c r="BL75" i="131"/>
  <c r="F75" i="131"/>
  <c r="BM75" i="131"/>
  <c r="M75" i="131"/>
  <c r="L75" i="131"/>
  <c r="AM75" i="131"/>
  <c r="E75" i="131"/>
  <c r="O75" i="131"/>
  <c r="C75" i="131"/>
  <c r="M41" i="122"/>
  <c r="L41" i="122"/>
  <c r="N41" i="122"/>
  <c r="M48" i="122"/>
  <c r="N48" i="122"/>
  <c r="L48" i="122"/>
  <c r="N37" i="122"/>
  <c r="L37" i="122"/>
  <c r="M37" i="122"/>
  <c r="M32" i="122"/>
  <c r="N32" i="122"/>
  <c r="L32" i="122"/>
  <c r="N47" i="122"/>
  <c r="M47" i="122"/>
  <c r="L47" i="122"/>
  <c r="N56" i="122"/>
  <c r="L56" i="122"/>
  <c r="M56" i="122"/>
  <c r="M31" i="122"/>
  <c r="L31" i="122"/>
  <c r="N31" i="122"/>
  <c r="L60" i="122"/>
  <c r="N60" i="122"/>
  <c r="M60" i="122"/>
  <c r="M46" i="122"/>
  <c r="N46" i="122"/>
  <c r="L46" i="122"/>
  <c r="L51" i="122"/>
  <c r="N51" i="122"/>
  <c r="M51" i="122"/>
  <c r="L39" i="122"/>
  <c r="N39" i="122"/>
  <c r="M39" i="122"/>
  <c r="L53" i="122"/>
  <c r="N53" i="122"/>
  <c r="M53" i="122"/>
  <c r="L38" i="122"/>
  <c r="N38" i="122"/>
  <c r="M38" i="122"/>
  <c r="M44" i="122"/>
  <c r="L44" i="122"/>
  <c r="N44" i="122"/>
  <c r="L30" i="122"/>
  <c r="M30" i="122"/>
  <c r="N30" i="122"/>
  <c r="M35" i="122"/>
  <c r="L35" i="122"/>
  <c r="N35" i="122"/>
  <c r="M58" i="122"/>
  <c r="L58" i="122"/>
  <c r="N58" i="122"/>
  <c r="M63" i="122"/>
  <c r="L63" i="122"/>
  <c r="N63" i="122"/>
  <c r="L65" i="122"/>
  <c r="M65" i="122"/>
  <c r="N65" i="122"/>
  <c r="BM6" i="131"/>
  <c r="BE6" i="131"/>
  <c r="B6" i="131"/>
  <c r="BN6" i="131"/>
  <c r="BC6" i="131"/>
  <c r="C6" i="131"/>
  <c r="BL6" i="131"/>
  <c r="BD6" i="131"/>
  <c r="M78" i="131"/>
  <c r="F78" i="131"/>
  <c r="G78" i="131"/>
  <c r="AV78" i="131"/>
  <c r="J78" i="131"/>
  <c r="BM78" i="131"/>
  <c r="BL78" i="131"/>
  <c r="AD78" i="131"/>
  <c r="E78" i="131"/>
  <c r="N78" i="131"/>
  <c r="BD78" i="131"/>
  <c r="O78" i="131"/>
  <c r="H78" i="131"/>
  <c r="U78" i="131"/>
  <c r="C78" i="131"/>
  <c r="I78" i="131"/>
  <c r="AU78" i="131"/>
  <c r="P78" i="131"/>
  <c r="L78" i="131"/>
  <c r="AT78" i="131"/>
  <c r="BC78" i="131"/>
  <c r="AK78" i="131"/>
  <c r="Q78" i="131"/>
  <c r="AC78" i="131"/>
  <c r="AM78" i="131"/>
  <c r="BE78" i="131"/>
  <c r="AB78" i="131"/>
  <c r="S78" i="131"/>
  <c r="BN78" i="131"/>
  <c r="T78" i="131"/>
  <c r="AL78" i="131"/>
  <c r="B78" i="131"/>
  <c r="B34" i="131"/>
  <c r="BD34" i="131"/>
  <c r="BE34" i="131"/>
  <c r="BC34" i="131"/>
  <c r="BL34" i="131"/>
  <c r="C34" i="131"/>
  <c r="BM34" i="131"/>
  <c r="BN34" i="131"/>
  <c r="BN46" i="131"/>
  <c r="BM46" i="131"/>
  <c r="C46" i="131"/>
  <c r="BD46" i="131"/>
  <c r="BL46" i="131"/>
  <c r="B46" i="131"/>
  <c r="BE46" i="131"/>
  <c r="BC46" i="131"/>
  <c r="N33" i="123"/>
  <c r="M33" i="123"/>
  <c r="L33" i="123"/>
  <c r="L47" i="125"/>
  <c r="M47" i="125"/>
  <c r="N47" i="125"/>
  <c r="M52" i="124"/>
  <c r="N52" i="124"/>
  <c r="L52" i="124"/>
  <c r="P47" i="125"/>
  <c r="K47" i="125"/>
  <c r="O47" i="125"/>
  <c r="Q47" i="125"/>
  <c r="N61" i="125"/>
  <c r="M61" i="125"/>
  <c r="L61" i="125"/>
  <c r="L51" i="125"/>
  <c r="M51" i="125"/>
  <c r="N51" i="125"/>
  <c r="K41" i="125"/>
  <c r="O41" i="125"/>
  <c r="P41" i="125"/>
  <c r="Q41" i="125"/>
  <c r="M55" i="127"/>
  <c r="N55" i="127"/>
  <c r="L55" i="127"/>
  <c r="M34" i="125"/>
  <c r="L34" i="125"/>
  <c r="N34" i="125"/>
  <c r="O44" i="125"/>
  <c r="Q44" i="125"/>
  <c r="K44" i="125"/>
  <c r="P44" i="125"/>
  <c r="L41" i="123"/>
  <c r="M41" i="123"/>
  <c r="N41" i="123"/>
  <c r="L58" i="123"/>
  <c r="N58" i="123"/>
  <c r="M58" i="123"/>
  <c r="O41" i="123"/>
  <c r="P41" i="123"/>
  <c r="Q41" i="123"/>
  <c r="K41" i="123"/>
  <c r="L44" i="127"/>
  <c r="N44" i="127"/>
  <c r="M44" i="127"/>
  <c r="P58" i="124"/>
  <c r="Q58" i="124"/>
  <c r="O58" i="124"/>
  <c r="K58" i="124"/>
  <c r="L43" i="123"/>
  <c r="N43" i="123"/>
  <c r="M43" i="123"/>
  <c r="M66" i="126"/>
  <c r="L66" i="126"/>
  <c r="N66" i="126"/>
  <c r="N43" i="124"/>
  <c r="L43" i="124"/>
  <c r="M43" i="124"/>
  <c r="L29" i="126"/>
  <c r="M29" i="126"/>
  <c r="N29" i="126"/>
  <c r="K62" i="126"/>
  <c r="P62" i="126"/>
  <c r="O62" i="126"/>
  <c r="Q62" i="126"/>
  <c r="Q52" i="127"/>
  <c r="O52" i="127"/>
  <c r="K52" i="127"/>
  <c r="P52" i="127"/>
  <c r="O36" i="122"/>
  <c r="Q36" i="122"/>
  <c r="P36" i="122"/>
  <c r="K36" i="122"/>
  <c r="N34" i="126"/>
  <c r="M34" i="126"/>
  <c r="L34" i="126"/>
  <c r="K38" i="127"/>
  <c r="P38" i="127"/>
  <c r="Q38" i="127"/>
  <c r="O38" i="127"/>
  <c r="N54" i="127"/>
  <c r="L54" i="127"/>
  <c r="M54" i="127"/>
  <c r="L51" i="127"/>
  <c r="N51" i="127"/>
  <c r="M51" i="127"/>
  <c r="M41" i="124"/>
  <c r="L41" i="124"/>
  <c r="N41" i="124"/>
  <c r="Q38" i="126"/>
  <c r="O38" i="126"/>
  <c r="P38" i="126"/>
  <c r="K38" i="126"/>
  <c r="N61" i="123"/>
  <c r="L61" i="123"/>
  <c r="M61" i="123"/>
  <c r="K41" i="124"/>
  <c r="O41" i="124"/>
  <c r="P41" i="124"/>
  <c r="Q41" i="124"/>
  <c r="M36" i="123"/>
  <c r="L36" i="123"/>
  <c r="N36" i="123"/>
  <c r="N49" i="126"/>
  <c r="M49" i="126"/>
  <c r="L49" i="126"/>
  <c r="O47" i="127"/>
  <c r="Q47" i="127"/>
  <c r="P47" i="127"/>
  <c r="K47" i="127"/>
  <c r="P29" i="127"/>
  <c r="Q29" i="127"/>
  <c r="O29" i="127"/>
  <c r="K29" i="127"/>
  <c r="P51" i="125"/>
  <c r="Q51" i="125"/>
  <c r="K51" i="125"/>
  <c r="O51" i="125"/>
  <c r="P44" i="126"/>
  <c r="K44" i="126"/>
  <c r="O44" i="126"/>
  <c r="Q44" i="126"/>
  <c r="M33" i="125"/>
  <c r="N33" i="125"/>
  <c r="L33" i="125"/>
  <c r="K34" i="126"/>
  <c r="O34" i="126"/>
  <c r="Q34" i="126"/>
  <c r="P34" i="126"/>
  <c r="P46" i="123"/>
  <c r="K46" i="123"/>
  <c r="O46" i="123"/>
  <c r="Q46" i="123"/>
  <c r="Q59" i="127"/>
  <c r="K59" i="127"/>
  <c r="P59" i="127"/>
  <c r="O59" i="127"/>
  <c r="P44" i="124"/>
  <c r="Q44" i="124"/>
  <c r="K44" i="124"/>
  <c r="O44" i="124"/>
  <c r="G2" i="115"/>
  <c r="F2" i="115"/>
  <c r="F44" i="115" s="1"/>
  <c r="L35" i="123"/>
  <c r="N35" i="123"/>
  <c r="M35" i="123"/>
  <c r="K57" i="126"/>
  <c r="Q57" i="126"/>
  <c r="O57" i="126"/>
  <c r="P57" i="126"/>
  <c r="Q55" i="125"/>
  <c r="K55" i="125"/>
  <c r="O55" i="125"/>
  <c r="P55" i="125"/>
  <c r="O46" i="124"/>
  <c r="P46" i="124"/>
  <c r="Q46" i="124"/>
  <c r="K46" i="124"/>
  <c r="O61" i="127"/>
  <c r="Q61" i="127"/>
  <c r="P61" i="127"/>
  <c r="K61" i="127"/>
  <c r="Q39" i="123"/>
  <c r="O39" i="123"/>
  <c r="K39" i="123"/>
  <c r="P39" i="123"/>
  <c r="L30" i="123"/>
  <c r="N30" i="123"/>
  <c r="M30" i="123"/>
  <c r="L50" i="123"/>
  <c r="N50" i="123"/>
  <c r="M50" i="123"/>
  <c r="K61" i="126"/>
  <c r="Q61" i="126"/>
  <c r="O61" i="126"/>
  <c r="P61" i="126"/>
  <c r="Q60" i="126"/>
  <c r="K60" i="126"/>
  <c r="O60" i="126"/>
  <c r="P60" i="126"/>
  <c r="P54" i="127"/>
  <c r="K54" i="127"/>
  <c r="Q54" i="127"/>
  <c r="O54" i="127"/>
  <c r="L46" i="125"/>
  <c r="N46" i="125"/>
  <c r="M46" i="125"/>
  <c r="O57" i="124"/>
  <c r="P57" i="124"/>
  <c r="K57" i="124"/>
  <c r="Q57" i="124"/>
  <c r="L29" i="125"/>
  <c r="M29" i="125"/>
  <c r="N29" i="125"/>
  <c r="M55" i="124"/>
  <c r="N55" i="124"/>
  <c r="L55" i="124"/>
  <c r="O36" i="123"/>
  <c r="P36" i="123"/>
  <c r="K36" i="123"/>
  <c r="Q36" i="123"/>
  <c r="N31" i="123"/>
  <c r="M31" i="123"/>
  <c r="L31" i="123"/>
  <c r="M66" i="123"/>
  <c r="L66" i="123"/>
  <c r="N66" i="123"/>
  <c r="O57" i="125"/>
  <c r="P57" i="125"/>
  <c r="K57" i="125"/>
  <c r="Q57" i="125"/>
  <c r="Q38" i="122"/>
  <c r="O38" i="122"/>
  <c r="K38" i="122"/>
  <c r="P38" i="122"/>
  <c r="Q61" i="122"/>
  <c r="P61" i="122"/>
  <c r="O61" i="122"/>
  <c r="K61" i="122"/>
  <c r="Q56" i="122"/>
  <c r="O56" i="122"/>
  <c r="K56" i="122"/>
  <c r="P56" i="122"/>
  <c r="O42" i="122"/>
  <c r="Q42" i="122"/>
  <c r="K42" i="122"/>
  <c r="P42" i="122"/>
  <c r="O32" i="122"/>
  <c r="P32" i="122"/>
  <c r="K32" i="122"/>
  <c r="Q32" i="122"/>
  <c r="L54" i="124"/>
  <c r="N54" i="124"/>
  <c r="M54" i="124"/>
  <c r="K44" i="122"/>
  <c r="O44" i="122"/>
  <c r="Q44" i="122"/>
  <c r="P44" i="122"/>
  <c r="L59" i="125"/>
  <c r="N59" i="125"/>
  <c r="M59" i="125"/>
  <c r="Q49" i="127"/>
  <c r="O49" i="127"/>
  <c r="P49" i="127"/>
  <c r="K49" i="127"/>
  <c r="N62" i="127"/>
  <c r="M62" i="127"/>
  <c r="L62" i="127"/>
  <c r="L32" i="123"/>
  <c r="M32" i="123"/>
  <c r="N32" i="123"/>
  <c r="K46" i="127"/>
  <c r="O46" i="127"/>
  <c r="Q46" i="127"/>
  <c r="P46" i="127"/>
  <c r="K53" i="125"/>
  <c r="O53" i="125"/>
  <c r="P53" i="125"/>
  <c r="Q53" i="125"/>
  <c r="N51" i="124"/>
  <c r="L51" i="124"/>
  <c r="M51" i="124"/>
  <c r="N56" i="126"/>
  <c r="M56" i="126"/>
  <c r="L56" i="126"/>
  <c r="P51" i="124"/>
  <c r="O51" i="124"/>
  <c r="K51" i="124"/>
  <c r="Q51" i="124"/>
  <c r="Q58" i="123"/>
  <c r="O58" i="123"/>
  <c r="P58" i="123"/>
  <c r="K58" i="123"/>
  <c r="P47" i="124"/>
  <c r="O47" i="124"/>
  <c r="Q47" i="124"/>
  <c r="K47" i="124"/>
  <c r="O56" i="124"/>
  <c r="P56" i="124"/>
  <c r="K56" i="124"/>
  <c r="Q56" i="124"/>
  <c r="M55" i="123"/>
  <c r="L55" i="123"/>
  <c r="N55" i="123"/>
  <c r="M45" i="124"/>
  <c r="L45" i="124"/>
  <c r="N45" i="124"/>
  <c r="N57" i="126"/>
  <c r="L57" i="126"/>
  <c r="M57" i="126"/>
  <c r="O53" i="127"/>
  <c r="Q53" i="127"/>
  <c r="P53" i="127"/>
  <c r="K53" i="127"/>
  <c r="N33" i="124"/>
  <c r="M33" i="124"/>
  <c r="L33" i="124"/>
  <c r="L62" i="125"/>
  <c r="N62" i="125"/>
  <c r="M62" i="125"/>
  <c r="K29" i="122"/>
  <c r="O29" i="122"/>
  <c r="P29" i="122"/>
  <c r="Q29" i="122"/>
  <c r="O40" i="122"/>
  <c r="K40" i="122"/>
  <c r="P40" i="122"/>
  <c r="Q40" i="122"/>
  <c r="P65" i="122"/>
  <c r="K65" i="122"/>
  <c r="Q65" i="122"/>
  <c r="O65" i="122"/>
  <c r="K39" i="127"/>
  <c r="O39" i="127"/>
  <c r="Q39" i="127"/>
  <c r="P39" i="127"/>
  <c r="Q30" i="127"/>
  <c r="O30" i="127"/>
  <c r="K30" i="127"/>
  <c r="P30" i="127"/>
  <c r="P62" i="127"/>
  <c r="O62" i="127"/>
  <c r="Q62" i="127"/>
  <c r="K62" i="127"/>
  <c r="O50" i="124"/>
  <c r="P50" i="124"/>
  <c r="Q50" i="124"/>
  <c r="K50" i="124"/>
  <c r="K66" i="125"/>
  <c r="P66" i="125"/>
  <c r="Q66" i="125"/>
  <c r="O66" i="125"/>
  <c r="M57" i="127"/>
  <c r="N57" i="127"/>
  <c r="L57" i="127"/>
  <c r="L36" i="124"/>
  <c r="M36" i="124"/>
  <c r="N36" i="124"/>
  <c r="O37" i="123"/>
  <c r="P37" i="123"/>
  <c r="Q37" i="123"/>
  <c r="K37" i="123"/>
  <c r="M42" i="123"/>
  <c r="N42" i="123"/>
  <c r="L42" i="123"/>
  <c r="P52" i="123"/>
  <c r="K52" i="123"/>
  <c r="O52" i="123"/>
  <c r="Q52" i="123"/>
  <c r="N40" i="124"/>
  <c r="M40" i="124"/>
  <c r="L40" i="124"/>
  <c r="M66" i="125"/>
  <c r="L66" i="125"/>
  <c r="N66" i="125"/>
  <c r="M31" i="127"/>
  <c r="N31" i="127"/>
  <c r="L31" i="127"/>
  <c r="L48" i="123"/>
  <c r="M48" i="123"/>
  <c r="N48" i="123"/>
  <c r="P45" i="127"/>
  <c r="O45" i="127"/>
  <c r="K45" i="127"/>
  <c r="Q45" i="127"/>
  <c r="Q30" i="122"/>
  <c r="O30" i="122"/>
  <c r="P30" i="122"/>
  <c r="K30" i="122"/>
  <c r="O58" i="122"/>
  <c r="P58" i="122"/>
  <c r="K58" i="122"/>
  <c r="Q58" i="122"/>
  <c r="Q48" i="122"/>
  <c r="P48" i="122"/>
  <c r="O48" i="122"/>
  <c r="K48" i="122"/>
  <c r="O50" i="122"/>
  <c r="K50" i="122"/>
  <c r="P50" i="122"/>
  <c r="Q50" i="122"/>
  <c r="Q60" i="127"/>
  <c r="P60" i="127"/>
  <c r="K60" i="127"/>
  <c r="O60" i="127"/>
  <c r="P62" i="123"/>
  <c r="Q62" i="123"/>
  <c r="K62" i="123"/>
  <c r="O62" i="123"/>
  <c r="Q32" i="123"/>
  <c r="P32" i="123"/>
  <c r="K32" i="123"/>
  <c r="O32" i="123"/>
  <c r="M40" i="126"/>
  <c r="N40" i="126"/>
  <c r="L40" i="126"/>
  <c r="O43" i="125"/>
  <c r="P43" i="125"/>
  <c r="K43" i="125"/>
  <c r="Q43" i="125"/>
  <c r="K29" i="126"/>
  <c r="O29" i="126"/>
  <c r="Q29" i="126"/>
  <c r="P29" i="126"/>
  <c r="N62" i="124"/>
  <c r="M62" i="124"/>
  <c r="L62" i="124"/>
  <c r="L56" i="125"/>
  <c r="M56" i="125"/>
  <c r="N56" i="125"/>
  <c r="M42" i="127"/>
  <c r="L42" i="127"/>
  <c r="N42" i="127"/>
  <c r="K31" i="127"/>
  <c r="Q31" i="127"/>
  <c r="P31" i="127"/>
  <c r="O31" i="127"/>
  <c r="O47" i="123"/>
  <c r="Q47" i="123"/>
  <c r="K47" i="123"/>
  <c r="P47" i="123"/>
  <c r="P63" i="127"/>
  <c r="O63" i="127"/>
  <c r="K63" i="127"/>
  <c r="Q63" i="127"/>
  <c r="Q66" i="123"/>
  <c r="K66" i="123"/>
  <c r="O66" i="123"/>
  <c r="P66" i="123"/>
  <c r="Q33" i="125"/>
  <c r="O33" i="125"/>
  <c r="K33" i="125"/>
  <c r="P33" i="125"/>
  <c r="K31" i="123"/>
  <c r="P31" i="123"/>
  <c r="Q31" i="123"/>
  <c r="O31" i="123"/>
  <c r="K42" i="125"/>
  <c r="P42" i="125"/>
  <c r="O42" i="125"/>
  <c r="Q42" i="125"/>
  <c r="K59" i="124"/>
  <c r="P59" i="124"/>
  <c r="Q59" i="124"/>
  <c r="O59" i="124"/>
  <c r="K57" i="127"/>
  <c r="Q57" i="127"/>
  <c r="P57" i="127"/>
  <c r="O57" i="127"/>
  <c r="O46" i="126"/>
  <c r="P46" i="126"/>
  <c r="K46" i="126"/>
  <c r="Q46" i="126"/>
  <c r="L65" i="125"/>
  <c r="N65" i="125"/>
  <c r="M65" i="125"/>
  <c r="M61" i="127"/>
  <c r="L61" i="127"/>
  <c r="N61" i="127"/>
  <c r="P52" i="122"/>
  <c r="O52" i="122"/>
  <c r="Q52" i="122"/>
  <c r="K52" i="122"/>
  <c r="K60" i="122"/>
  <c r="P60" i="122"/>
  <c r="O60" i="122"/>
  <c r="Q60" i="122"/>
  <c r="O37" i="122"/>
  <c r="K37" i="122"/>
  <c r="P37" i="122"/>
  <c r="Q37" i="122"/>
  <c r="K49" i="122"/>
  <c r="Q49" i="122"/>
  <c r="P49" i="122"/>
  <c r="O49" i="122"/>
  <c r="P62" i="124"/>
  <c r="K62" i="124"/>
  <c r="Q62" i="124"/>
  <c r="O62" i="124"/>
  <c r="P61" i="123"/>
  <c r="Q61" i="123"/>
  <c r="K61" i="123"/>
  <c r="O61" i="123"/>
  <c r="K43" i="122"/>
  <c r="O43" i="122"/>
  <c r="P43" i="122"/>
  <c r="Q43" i="122"/>
  <c r="K66" i="122"/>
  <c r="P66" i="122"/>
  <c r="O66" i="122"/>
  <c r="Q66" i="122"/>
  <c r="L56" i="124"/>
  <c r="M56" i="124"/>
  <c r="N56" i="124"/>
  <c r="M46" i="124"/>
  <c r="L46" i="124"/>
  <c r="N46" i="124"/>
  <c r="K58" i="126"/>
  <c r="Q58" i="126"/>
  <c r="O58" i="126"/>
  <c r="P58" i="126"/>
  <c r="L47" i="124"/>
  <c r="N47" i="124"/>
  <c r="M47" i="124"/>
  <c r="K53" i="123"/>
  <c r="P53" i="123"/>
  <c r="O53" i="123"/>
  <c r="Q53" i="123"/>
  <c r="P35" i="124"/>
  <c r="K35" i="124"/>
  <c r="O35" i="124"/>
  <c r="Q35" i="124"/>
  <c r="L29" i="127"/>
  <c r="M29" i="127"/>
  <c r="N29" i="127"/>
  <c r="K56" i="123"/>
  <c r="O56" i="123"/>
  <c r="Q56" i="123"/>
  <c r="P56" i="123"/>
  <c r="K50" i="127"/>
  <c r="O50" i="127"/>
  <c r="Q50" i="127"/>
  <c r="P50" i="127"/>
  <c r="K35" i="122"/>
  <c r="P35" i="122"/>
  <c r="O35" i="122"/>
  <c r="Q35" i="122"/>
  <c r="N45" i="125"/>
  <c r="L45" i="125"/>
  <c r="M45" i="125"/>
  <c r="M41" i="125"/>
  <c r="N41" i="125"/>
  <c r="L41" i="125"/>
  <c r="M52" i="123"/>
  <c r="L52" i="123"/>
  <c r="N52" i="123"/>
  <c r="P65" i="123"/>
  <c r="K65" i="123"/>
  <c r="O65" i="123"/>
  <c r="Q65" i="123"/>
  <c r="M48" i="124"/>
  <c r="L48" i="124"/>
  <c r="N48" i="124"/>
  <c r="N32" i="124"/>
  <c r="L32" i="124"/>
  <c r="M32" i="124"/>
  <c r="L59" i="123"/>
  <c r="N59" i="123"/>
  <c r="M59" i="123"/>
  <c r="M37" i="124"/>
  <c r="L37" i="124"/>
  <c r="N37" i="124"/>
  <c r="N39" i="127"/>
  <c r="M39" i="127"/>
  <c r="L39" i="127"/>
  <c r="Q40" i="127"/>
  <c r="K40" i="127"/>
  <c r="P40" i="127"/>
  <c r="O40" i="127"/>
  <c r="Q45" i="126"/>
  <c r="O45" i="126"/>
  <c r="P45" i="126"/>
  <c r="K45" i="126"/>
  <c r="M45" i="126"/>
  <c r="L45" i="126"/>
  <c r="N45" i="126"/>
  <c r="Q39" i="126"/>
  <c r="O39" i="126"/>
  <c r="P39" i="126"/>
  <c r="K39" i="126"/>
  <c r="P66" i="127"/>
  <c r="K66" i="127"/>
  <c r="O66" i="127"/>
  <c r="Q66" i="127"/>
  <c r="M53" i="123"/>
  <c r="L53" i="123"/>
  <c r="N53" i="123"/>
  <c r="P33" i="124"/>
  <c r="K33" i="124"/>
  <c r="Q33" i="124"/>
  <c r="O33" i="124"/>
  <c r="P31" i="125"/>
  <c r="Q31" i="125"/>
  <c r="O31" i="125"/>
  <c r="K31" i="125"/>
  <c r="N44" i="125"/>
  <c r="L44" i="125"/>
  <c r="M44" i="125"/>
  <c r="P42" i="123"/>
  <c r="Q42" i="123"/>
  <c r="O42" i="123"/>
  <c r="K42" i="123"/>
  <c r="M32" i="125"/>
  <c r="N32" i="125"/>
  <c r="L32" i="125"/>
  <c r="M38" i="123"/>
  <c r="N38" i="123"/>
  <c r="L38" i="123"/>
  <c r="K60" i="124"/>
  <c r="P60" i="124"/>
  <c r="Q60" i="124"/>
  <c r="O60" i="124"/>
  <c r="M36" i="125"/>
  <c r="N36" i="125"/>
  <c r="L36" i="125"/>
  <c r="M43" i="125"/>
  <c r="L43" i="125"/>
  <c r="N43" i="125"/>
  <c r="K30" i="123"/>
  <c r="P30" i="123"/>
  <c r="Q30" i="123"/>
  <c r="O30" i="123"/>
  <c r="M65" i="126"/>
  <c r="N65" i="126"/>
  <c r="L65" i="126"/>
  <c r="P36" i="125"/>
  <c r="Q36" i="125"/>
  <c r="O36" i="125"/>
  <c r="K36" i="125"/>
  <c r="N56" i="123"/>
  <c r="L56" i="123"/>
  <c r="M56" i="123"/>
  <c r="O64" i="123"/>
  <c r="K64" i="123"/>
  <c r="P64" i="123"/>
  <c r="Q64" i="123"/>
  <c r="M39" i="126"/>
  <c r="L39" i="126"/>
  <c r="N39" i="126"/>
  <c r="Q48" i="126"/>
  <c r="P48" i="126"/>
  <c r="O48" i="126"/>
  <c r="K48" i="126"/>
  <c r="K30" i="126"/>
  <c r="P30" i="126"/>
  <c r="O30" i="126"/>
  <c r="Q30" i="126"/>
  <c r="Q37" i="127"/>
  <c r="O37" i="127"/>
  <c r="P37" i="127"/>
  <c r="K37" i="127"/>
  <c r="O34" i="124"/>
  <c r="K34" i="124"/>
  <c r="P34" i="124"/>
  <c r="Q34" i="124"/>
  <c r="N60" i="123"/>
  <c r="M60" i="123"/>
  <c r="L60" i="123"/>
  <c r="M30" i="126"/>
  <c r="L30" i="126"/>
  <c r="N30" i="126"/>
  <c r="P45" i="123"/>
  <c r="O45" i="123"/>
  <c r="K45" i="123"/>
  <c r="Q45" i="123"/>
  <c r="O52" i="124"/>
  <c r="Q52" i="124"/>
  <c r="P52" i="124"/>
  <c r="K52" i="124"/>
  <c r="L37" i="125"/>
  <c r="N37" i="125"/>
  <c r="M37" i="125"/>
  <c r="L48" i="125"/>
  <c r="N48" i="125"/>
  <c r="M48" i="125"/>
  <c r="Q37" i="126"/>
  <c r="K37" i="126"/>
  <c r="P37" i="126"/>
  <c r="O37" i="126"/>
  <c r="L38" i="124"/>
  <c r="N38" i="124"/>
  <c r="M38" i="124"/>
  <c r="O53" i="124"/>
  <c r="P53" i="124"/>
  <c r="K53" i="124"/>
  <c r="Q53" i="124"/>
  <c r="N52" i="126"/>
  <c r="M52" i="126"/>
  <c r="L52" i="126"/>
  <c r="L65" i="124"/>
  <c r="N65" i="124"/>
  <c r="M65" i="124"/>
  <c r="Q64" i="126"/>
  <c r="K64" i="126"/>
  <c r="P64" i="126"/>
  <c r="O64" i="126"/>
  <c r="Q34" i="125"/>
  <c r="O34" i="125"/>
  <c r="K34" i="125"/>
  <c r="P34" i="125"/>
  <c r="P34" i="127"/>
  <c r="Q34" i="127"/>
  <c r="K34" i="127"/>
  <c r="O34" i="127"/>
  <c r="L60" i="125"/>
  <c r="M60" i="125"/>
  <c r="N60" i="125"/>
  <c r="M32" i="126"/>
  <c r="N32" i="126"/>
  <c r="L32" i="126"/>
  <c r="N46" i="126"/>
  <c r="L46" i="126"/>
  <c r="M46" i="126"/>
  <c r="O56" i="125"/>
  <c r="Q56" i="125"/>
  <c r="P56" i="125"/>
  <c r="K56" i="125"/>
  <c r="M37" i="127"/>
  <c r="N37" i="127"/>
  <c r="L37" i="127"/>
  <c r="K49" i="124"/>
  <c r="O49" i="124"/>
  <c r="Q49" i="124"/>
  <c r="P49" i="124"/>
  <c r="K44" i="127"/>
  <c r="P44" i="127"/>
  <c r="O44" i="127"/>
  <c r="Q44" i="127"/>
  <c r="Q39" i="124"/>
  <c r="K39" i="124"/>
  <c r="O39" i="124"/>
  <c r="P39" i="124"/>
  <c r="K39" i="125"/>
  <c r="Q39" i="125"/>
  <c r="P39" i="125"/>
  <c r="O39" i="125"/>
  <c r="N34" i="124"/>
  <c r="L34" i="124"/>
  <c r="M34" i="124"/>
  <c r="N51" i="126"/>
  <c r="L51" i="126"/>
  <c r="M51" i="126"/>
  <c r="L57" i="123"/>
  <c r="M57" i="123"/>
  <c r="N57" i="123"/>
  <c r="L63" i="123"/>
  <c r="N63" i="123"/>
  <c r="M63" i="123"/>
  <c r="Q29" i="123"/>
  <c r="K29" i="123"/>
  <c r="O29" i="123"/>
  <c r="P29" i="123"/>
  <c r="O42" i="127"/>
  <c r="Q42" i="127"/>
  <c r="K42" i="127"/>
  <c r="P42" i="127"/>
  <c r="O35" i="127"/>
  <c r="K35" i="127"/>
  <c r="P35" i="127"/>
  <c r="Q35" i="127"/>
  <c r="M31" i="125"/>
  <c r="L31" i="125"/>
  <c r="N31" i="125"/>
  <c r="BE14" i="131"/>
  <c r="BC14" i="131"/>
  <c r="BN14" i="131"/>
  <c r="BM14" i="131"/>
  <c r="BD14" i="131"/>
  <c r="C14" i="131"/>
  <c r="B14" i="131"/>
  <c r="BL14" i="131"/>
  <c r="BN106" i="131"/>
  <c r="M106" i="131"/>
  <c r="H106" i="131"/>
  <c r="I106" i="131"/>
  <c r="O106" i="131"/>
  <c r="F106" i="131"/>
  <c r="AD106" i="131"/>
  <c r="AV106" i="131"/>
  <c r="AC106" i="131"/>
  <c r="BE106" i="131"/>
  <c r="U106" i="131"/>
  <c r="BM106" i="131"/>
  <c r="AT106" i="131"/>
  <c r="E106" i="131"/>
  <c r="N106" i="131"/>
  <c r="P106" i="131"/>
  <c r="G106" i="131"/>
  <c r="J106" i="131"/>
  <c r="L106" i="131"/>
  <c r="S106" i="131"/>
  <c r="AB106" i="131"/>
  <c r="AL106" i="131"/>
  <c r="B106" i="131"/>
  <c r="AU106" i="131"/>
  <c r="BL106" i="131"/>
  <c r="T106" i="131"/>
  <c r="C106" i="131"/>
  <c r="BC106" i="131"/>
  <c r="AM106" i="131"/>
  <c r="AK106" i="131"/>
  <c r="BD106" i="131"/>
  <c r="Q106" i="131"/>
  <c r="BA7" i="47"/>
  <c r="BB7" i="47" s="1"/>
  <c r="AM7" i="47"/>
  <c r="J129" i="131"/>
  <c r="C129" i="131"/>
  <c r="AC129" i="131"/>
  <c r="H129" i="131"/>
  <c r="AV129" i="131"/>
  <c r="BN129" i="131"/>
  <c r="AD129" i="131"/>
  <c r="E129" i="131"/>
  <c r="AK129" i="131"/>
  <c r="U129" i="131"/>
  <c r="L129" i="131"/>
  <c r="F129" i="131"/>
  <c r="O129" i="131"/>
  <c r="AT129" i="131"/>
  <c r="G129" i="131"/>
  <c r="BM129" i="131"/>
  <c r="AU129" i="131"/>
  <c r="B129" i="131"/>
  <c r="BC129" i="131"/>
  <c r="BD129" i="131"/>
  <c r="M129" i="131"/>
  <c r="I129" i="131"/>
  <c r="S129" i="131"/>
  <c r="P129" i="131"/>
  <c r="BE129" i="131"/>
  <c r="AB129" i="131"/>
  <c r="T129" i="131"/>
  <c r="Q129" i="131"/>
  <c r="AM129" i="131"/>
  <c r="BL129" i="131"/>
  <c r="N129" i="131"/>
  <c r="AL129" i="131"/>
  <c r="B8" i="131"/>
  <c r="BN8" i="131"/>
  <c r="BL8" i="131"/>
  <c r="C8" i="131"/>
  <c r="BM8" i="131"/>
  <c r="BE8" i="131"/>
  <c r="BC8" i="131"/>
  <c r="BD8" i="131"/>
  <c r="B98" i="131"/>
  <c r="E98" i="131"/>
  <c r="L98" i="131"/>
  <c r="BN98" i="131"/>
  <c r="AT98" i="131"/>
  <c r="AB98" i="131"/>
  <c r="BE98" i="131"/>
  <c r="J98" i="131"/>
  <c r="BL98" i="131"/>
  <c r="AD98" i="131"/>
  <c r="N98" i="131"/>
  <c r="U98" i="131"/>
  <c r="AU98" i="131"/>
  <c r="S98" i="131"/>
  <c r="BC98" i="131"/>
  <c r="P98" i="131"/>
  <c r="G98" i="131"/>
  <c r="BM98" i="131"/>
  <c r="H98" i="131"/>
  <c r="BD98" i="131"/>
  <c r="AC98" i="131"/>
  <c r="O98" i="131"/>
  <c r="F98" i="131"/>
  <c r="C98" i="131"/>
  <c r="AK98" i="131"/>
  <c r="AL98" i="131"/>
  <c r="AV98" i="131"/>
  <c r="Q98" i="131"/>
  <c r="I98" i="131"/>
  <c r="M98" i="131"/>
  <c r="T98" i="131"/>
  <c r="AM98" i="131"/>
  <c r="BL32" i="131"/>
  <c r="BN32" i="131"/>
  <c r="BE32" i="131"/>
  <c r="BC32" i="131"/>
  <c r="BD32" i="131"/>
  <c r="B32" i="131"/>
  <c r="C32" i="131"/>
  <c r="BM32" i="131"/>
  <c r="AK76" i="47"/>
  <c r="AI76" i="47"/>
  <c r="AJ76" i="47"/>
  <c r="A341" i="61"/>
  <c r="A429" i="61"/>
  <c r="AJ84" i="47"/>
  <c r="AI84" i="47"/>
  <c r="AK84" i="47"/>
  <c r="AI135" i="47"/>
  <c r="AK135" i="47"/>
  <c r="AJ135" i="47"/>
  <c r="A305" i="61"/>
  <c r="AJ74" i="47"/>
  <c r="A301" i="61"/>
  <c r="AI74" i="47"/>
  <c r="AK74" i="47"/>
  <c r="AJ96" i="47"/>
  <c r="AK96" i="47"/>
  <c r="A509" i="61"/>
  <c r="AI96" i="47"/>
  <c r="A465" i="61"/>
  <c r="AK136" i="47"/>
  <c r="AI136" i="47"/>
  <c r="AJ136" i="47"/>
  <c r="AJ114" i="47"/>
  <c r="A277" i="61"/>
  <c r="AK114" i="47"/>
  <c r="AI114" i="47"/>
  <c r="AK64" i="47"/>
  <c r="A241" i="61"/>
  <c r="AJ64" i="47"/>
  <c r="AI64" i="47"/>
  <c r="AI65" i="47"/>
  <c r="AK65" i="47"/>
  <c r="A453" i="61"/>
  <c r="AJ65" i="47"/>
  <c r="AJ111" i="47"/>
  <c r="AI111" i="47"/>
  <c r="AK111" i="47"/>
  <c r="A325" i="61"/>
  <c r="AK103" i="47"/>
  <c r="AI103" i="47"/>
  <c r="AJ103" i="47"/>
  <c r="A421" i="61"/>
  <c r="AI133" i="47"/>
  <c r="AJ133" i="47"/>
  <c r="A253" i="61"/>
  <c r="AK133" i="47"/>
  <c r="AK110" i="47"/>
  <c r="A369" i="61"/>
  <c r="AI110" i="47"/>
  <c r="AJ110" i="47"/>
  <c r="AK94" i="47"/>
  <c r="AI94" i="47"/>
  <c r="AJ94" i="47"/>
  <c r="A405" i="61"/>
  <c r="A261" i="61"/>
  <c r="AK77" i="47"/>
  <c r="AJ77" i="47"/>
  <c r="AI77" i="47"/>
  <c r="AJ109" i="47"/>
  <c r="AK109" i="47"/>
  <c r="A393" i="61"/>
  <c r="AI109" i="47"/>
  <c r="AJ124" i="47"/>
  <c r="AK124" i="47"/>
  <c r="AI124" i="47"/>
  <c r="A417" i="61"/>
  <c r="AJ72" i="47"/>
  <c r="AI72" i="47"/>
  <c r="A441" i="61"/>
  <c r="AK72" i="47"/>
  <c r="AK62" i="47"/>
  <c r="A333" i="61"/>
  <c r="AI62" i="47"/>
  <c r="AJ62" i="47"/>
  <c r="AJ134" i="47"/>
  <c r="A225" i="61"/>
  <c r="AI134" i="47"/>
  <c r="AK134" i="47"/>
  <c r="AI129" i="47"/>
  <c r="A437" i="61"/>
  <c r="AJ129" i="47"/>
  <c r="AK129" i="47"/>
  <c r="AK128" i="47"/>
  <c r="AJ128" i="47"/>
  <c r="A473" i="61"/>
  <c r="AI128" i="47"/>
  <c r="AJ125" i="47"/>
  <c r="AI125" i="47"/>
  <c r="AK125" i="47"/>
  <c r="A249" i="61"/>
  <c r="A413" i="61"/>
  <c r="AK70" i="47"/>
  <c r="AJ70" i="47"/>
  <c r="AI70" i="47"/>
  <c r="AI79" i="47"/>
  <c r="AJ79" i="47"/>
  <c r="AK79" i="47"/>
  <c r="A481" i="61"/>
  <c r="AI93" i="47"/>
  <c r="AJ93" i="47"/>
  <c r="A401" i="61"/>
  <c r="AK93" i="47"/>
  <c r="A485" i="61"/>
  <c r="AK92" i="47"/>
  <c r="AJ92" i="47"/>
  <c r="AI92" i="47"/>
  <c r="AI104" i="47"/>
  <c r="AJ104" i="47"/>
  <c r="AK104" i="47"/>
  <c r="A377" i="61"/>
  <c r="AK106" i="47"/>
  <c r="AJ106" i="47"/>
  <c r="A373" i="61"/>
  <c r="AI106" i="47"/>
  <c r="A397" i="61"/>
  <c r="AK86" i="47"/>
  <c r="AJ86" i="47"/>
  <c r="AI86" i="47"/>
  <c r="A361" i="61"/>
  <c r="AI116" i="47"/>
  <c r="AJ116" i="47"/>
  <c r="AK116" i="47"/>
  <c r="AI89" i="47"/>
  <c r="AK89" i="47"/>
  <c r="AJ89" i="47"/>
  <c r="A357" i="61"/>
  <c r="AK126" i="47"/>
  <c r="AJ126" i="47"/>
  <c r="A461" i="61"/>
  <c r="AI126" i="47"/>
  <c r="AI130" i="47"/>
  <c r="AJ130" i="47"/>
  <c r="AK130" i="47"/>
  <c r="A257" i="61"/>
  <c r="AI88" i="47"/>
  <c r="AJ88" i="47"/>
  <c r="AK88" i="47"/>
  <c r="A309" i="61"/>
  <c r="AK83" i="47"/>
  <c r="AI83" i="47"/>
  <c r="AJ83" i="47"/>
  <c r="A245" i="61"/>
  <c r="AJ82" i="47"/>
  <c r="AI82" i="47"/>
  <c r="A425" i="61"/>
  <c r="AK82" i="47"/>
  <c r="AI71" i="47"/>
  <c r="AK71" i="47"/>
  <c r="AJ71" i="47"/>
  <c r="A345" i="61"/>
  <c r="AI100" i="47"/>
  <c r="A457" i="61"/>
  <c r="AJ100" i="47"/>
  <c r="AK100" i="47"/>
  <c r="AI101" i="47"/>
  <c r="AK101" i="47"/>
  <c r="AJ101" i="47"/>
  <c r="A409" i="61"/>
  <c r="A313" i="61"/>
  <c r="AI75" i="47"/>
  <c r="AJ75" i="47"/>
  <c r="AK75" i="47"/>
  <c r="BL97" i="131"/>
  <c r="I97" i="131"/>
  <c r="BN97" i="131"/>
  <c r="O97" i="131"/>
  <c r="P97" i="131"/>
  <c r="BD97" i="131"/>
  <c r="AV97" i="131"/>
  <c r="J97" i="131"/>
  <c r="AL97" i="131"/>
  <c r="AK97" i="131"/>
  <c r="U97" i="131"/>
  <c r="T97" i="131"/>
  <c r="G97" i="131"/>
  <c r="L97" i="131"/>
  <c r="BM97" i="131"/>
  <c r="BE97" i="131"/>
  <c r="AC97" i="131"/>
  <c r="E97" i="131"/>
  <c r="M97" i="131"/>
  <c r="AD97" i="131"/>
  <c r="H97" i="131"/>
  <c r="AU97" i="131"/>
  <c r="F97" i="131"/>
  <c r="AM97" i="131"/>
  <c r="AB97" i="131"/>
  <c r="Q97" i="131"/>
  <c r="C97" i="131"/>
  <c r="BC97" i="131"/>
  <c r="AT97" i="131"/>
  <c r="B97" i="131"/>
  <c r="N97" i="131"/>
  <c r="S97" i="131"/>
  <c r="M102" i="131"/>
  <c r="AM102" i="131"/>
  <c r="AB102" i="131"/>
  <c r="T102" i="131"/>
  <c r="AT102" i="131"/>
  <c r="N102" i="131"/>
  <c r="Q102" i="131"/>
  <c r="G102" i="131"/>
  <c r="AL102" i="131"/>
  <c r="BL102" i="131"/>
  <c r="I102" i="131"/>
  <c r="P102" i="131"/>
  <c r="C102" i="131"/>
  <c r="BE102" i="131"/>
  <c r="E102" i="131"/>
  <c r="AD102" i="131"/>
  <c r="F102" i="131"/>
  <c r="AK102" i="131"/>
  <c r="H102" i="131"/>
  <c r="O102" i="131"/>
  <c r="BN102" i="131"/>
  <c r="AC102" i="131"/>
  <c r="AV102" i="131"/>
  <c r="AU102" i="131"/>
  <c r="S102" i="131"/>
  <c r="BM102" i="131"/>
  <c r="BD102" i="131"/>
  <c r="L102" i="131"/>
  <c r="B102" i="131"/>
  <c r="J102" i="131"/>
  <c r="BC102" i="131"/>
  <c r="U102" i="131"/>
  <c r="C130" i="131"/>
  <c r="T130" i="131"/>
  <c r="BD130" i="131"/>
  <c r="F130" i="131"/>
  <c r="AU130" i="131"/>
  <c r="AM130" i="131"/>
  <c r="BM130" i="131"/>
  <c r="AB130" i="131"/>
  <c r="S130" i="131"/>
  <c r="J130" i="131"/>
  <c r="G130" i="131"/>
  <c r="L130" i="131"/>
  <c r="M130" i="131"/>
  <c r="BC130" i="131"/>
  <c r="BE130" i="131"/>
  <c r="I130" i="131"/>
  <c r="AL130" i="131"/>
  <c r="AD130" i="131"/>
  <c r="AC130" i="131"/>
  <c r="AK130" i="131"/>
  <c r="H130" i="131"/>
  <c r="AV130" i="131"/>
  <c r="U130" i="131"/>
  <c r="E130" i="131"/>
  <c r="BN130" i="131"/>
  <c r="P130" i="131"/>
  <c r="O130" i="131"/>
  <c r="N130" i="131"/>
  <c r="Q130" i="131"/>
  <c r="BL130" i="131"/>
  <c r="AT130" i="131"/>
  <c r="B130" i="131"/>
  <c r="AK110" i="131"/>
  <c r="N110" i="131"/>
  <c r="L110" i="131"/>
  <c r="M110" i="131"/>
  <c r="BC110" i="131"/>
  <c r="AT110" i="131"/>
  <c r="F110" i="131"/>
  <c r="BL110" i="131"/>
  <c r="AU110" i="131"/>
  <c r="BN110" i="131"/>
  <c r="E110" i="131"/>
  <c r="H110" i="131"/>
  <c r="C110" i="131"/>
  <c r="J110" i="131"/>
  <c r="BD110" i="131"/>
  <c r="S110" i="131"/>
  <c r="BM110" i="131"/>
  <c r="P110" i="131"/>
  <c r="AC110" i="131"/>
  <c r="AM110" i="131"/>
  <c r="AB110" i="131"/>
  <c r="I110" i="131"/>
  <c r="O110" i="131"/>
  <c r="G110" i="131"/>
  <c r="U110" i="131"/>
  <c r="AV110" i="131"/>
  <c r="BE110" i="131"/>
  <c r="Q110" i="131"/>
  <c r="AL110" i="131"/>
  <c r="B110" i="131"/>
  <c r="AD110" i="131"/>
  <c r="T110" i="131"/>
  <c r="N61" i="131"/>
  <c r="G61" i="131"/>
  <c r="Q61" i="131"/>
  <c r="S61" i="131"/>
  <c r="AU61" i="131"/>
  <c r="L61" i="131"/>
  <c r="BC61" i="131"/>
  <c r="M61" i="131"/>
  <c r="AM61" i="131"/>
  <c r="O61" i="131"/>
  <c r="BL61" i="131"/>
  <c r="AT61" i="131"/>
  <c r="AL61" i="131"/>
  <c r="AV61" i="131"/>
  <c r="BD61" i="131"/>
  <c r="AD61" i="131"/>
  <c r="F61" i="131"/>
  <c r="B61" i="131"/>
  <c r="I61" i="131"/>
  <c r="BN61" i="131"/>
  <c r="T61" i="131"/>
  <c r="AB61" i="131"/>
  <c r="E61" i="131"/>
  <c r="AC61" i="131"/>
  <c r="AK61" i="131"/>
  <c r="BM61" i="131"/>
  <c r="J61" i="131"/>
  <c r="H61" i="131"/>
  <c r="C61" i="131"/>
  <c r="BE61" i="131"/>
  <c r="P61" i="131"/>
  <c r="U61" i="131"/>
  <c r="BL20" i="131"/>
  <c r="BN20" i="131"/>
  <c r="C20" i="131"/>
  <c r="BD20" i="131"/>
  <c r="BE20" i="131"/>
  <c r="BC20" i="131"/>
  <c r="BM20" i="131"/>
  <c r="B20" i="131"/>
  <c r="BE23" i="131"/>
  <c r="BM23" i="131"/>
  <c r="BD23" i="131"/>
  <c r="BL23" i="131"/>
  <c r="BN23" i="131"/>
  <c r="B23" i="131"/>
  <c r="BC23" i="131"/>
  <c r="C23" i="131"/>
  <c r="E96" i="131"/>
  <c r="U96" i="131"/>
  <c r="T96" i="131"/>
  <c r="N96" i="131"/>
  <c r="AM96" i="131"/>
  <c r="BN96" i="131"/>
  <c r="AT96" i="131"/>
  <c r="AD96" i="131"/>
  <c r="BL96" i="131"/>
  <c r="BC96" i="131"/>
  <c r="AU96" i="131"/>
  <c r="H96" i="131"/>
  <c r="BE96" i="131"/>
  <c r="B96" i="131"/>
  <c r="O96" i="131"/>
  <c r="I96" i="131"/>
  <c r="AV96" i="131"/>
  <c r="AL96" i="131"/>
  <c r="Q96" i="131"/>
  <c r="M96" i="131"/>
  <c r="F96" i="131"/>
  <c r="J96" i="131"/>
  <c r="AB96" i="131"/>
  <c r="AK96" i="131"/>
  <c r="G96" i="131"/>
  <c r="BM96" i="131"/>
  <c r="AC96" i="131"/>
  <c r="P96" i="131"/>
  <c r="C96" i="131"/>
  <c r="S96" i="131"/>
  <c r="L96" i="131"/>
  <c r="BD96" i="131"/>
  <c r="AL72" i="131"/>
  <c r="N72" i="131"/>
  <c r="P72" i="131"/>
  <c r="J72" i="131"/>
  <c r="G72" i="131"/>
  <c r="AK72" i="131"/>
  <c r="M72" i="131"/>
  <c r="BC72" i="131"/>
  <c r="AU72" i="131"/>
  <c r="AT72" i="131"/>
  <c r="BD72" i="131"/>
  <c r="AB72" i="131"/>
  <c r="BE72" i="131"/>
  <c r="AV72" i="131"/>
  <c r="C72" i="131"/>
  <c r="L72" i="131"/>
  <c r="U72" i="131"/>
  <c r="O72" i="131"/>
  <c r="E72" i="131"/>
  <c r="S72" i="131"/>
  <c r="Q72" i="131"/>
  <c r="AM72" i="131"/>
  <c r="BN72" i="131"/>
  <c r="AC72" i="131"/>
  <c r="BM72" i="131"/>
  <c r="T72" i="131"/>
  <c r="AD72" i="131"/>
  <c r="B72" i="131"/>
  <c r="I72" i="131"/>
  <c r="F72" i="131"/>
  <c r="H72" i="131"/>
  <c r="BL72" i="131"/>
  <c r="C95" i="131"/>
  <c r="BM95" i="131"/>
  <c r="BD95" i="131"/>
  <c r="BL95" i="131"/>
  <c r="F95" i="131"/>
  <c r="T95" i="131"/>
  <c r="AD95" i="131"/>
  <c r="AT95" i="131"/>
  <c r="BC95" i="131"/>
  <c r="Q95" i="131"/>
  <c r="U95" i="131"/>
  <c r="AU95" i="131"/>
  <c r="L95" i="131"/>
  <c r="BN95" i="131"/>
  <c r="P95" i="131"/>
  <c r="AV95" i="131"/>
  <c r="H95" i="131"/>
  <c r="I95" i="131"/>
  <c r="E95" i="131"/>
  <c r="M95" i="131"/>
  <c r="G95" i="131"/>
  <c r="N95" i="131"/>
  <c r="AL95" i="131"/>
  <c r="BE95" i="131"/>
  <c r="AK95" i="131"/>
  <c r="AC95" i="131"/>
  <c r="J95" i="131"/>
  <c r="AM95" i="131"/>
  <c r="S95" i="131"/>
  <c r="AB95" i="131"/>
  <c r="O95" i="131"/>
  <c r="B95" i="131"/>
  <c r="L93" i="131"/>
  <c r="F93" i="131"/>
  <c r="AU93" i="131"/>
  <c r="C93" i="131"/>
  <c r="I93" i="131"/>
  <c r="AT93" i="131"/>
  <c r="AB93" i="131"/>
  <c r="AD93" i="131"/>
  <c r="BN93" i="131"/>
  <c r="G93" i="131"/>
  <c r="BE93" i="131"/>
  <c r="P93" i="131"/>
  <c r="AK93" i="131"/>
  <c r="N93" i="131"/>
  <c r="AC93" i="131"/>
  <c r="BD93" i="131"/>
  <c r="M93" i="131"/>
  <c r="BM93" i="131"/>
  <c r="J93" i="131"/>
  <c r="AL93" i="131"/>
  <c r="Q93" i="131"/>
  <c r="U93" i="131"/>
  <c r="S93" i="131"/>
  <c r="B93" i="131"/>
  <c r="T93" i="131"/>
  <c r="O93" i="131"/>
  <c r="AV93" i="131"/>
  <c r="E93" i="131"/>
  <c r="BC93" i="131"/>
  <c r="AM93" i="131"/>
  <c r="H93" i="131"/>
  <c r="BL93" i="131"/>
  <c r="BN52" i="131"/>
  <c r="BC52" i="131"/>
  <c r="BD52" i="131"/>
  <c r="B52" i="131"/>
  <c r="C52" i="131"/>
  <c r="BL52" i="131"/>
  <c r="BE52" i="131"/>
  <c r="BM52" i="131"/>
  <c r="BL22" i="131"/>
  <c r="BN22" i="131"/>
  <c r="BD22" i="131"/>
  <c r="BC22" i="131"/>
  <c r="BM22" i="131"/>
  <c r="B22" i="131"/>
  <c r="BE22" i="131"/>
  <c r="C22" i="131"/>
  <c r="G94" i="131"/>
  <c r="BD94" i="131"/>
  <c r="H94" i="131"/>
  <c r="BN94" i="131"/>
  <c r="AC94" i="131"/>
  <c r="BL94" i="131"/>
  <c r="M94" i="131"/>
  <c r="L94" i="131"/>
  <c r="BM94" i="131"/>
  <c r="AK94" i="131"/>
  <c r="U94" i="131"/>
  <c r="F94" i="131"/>
  <c r="AV94" i="131"/>
  <c r="AD94" i="131"/>
  <c r="AT94" i="131"/>
  <c r="AU94" i="131"/>
  <c r="B94" i="131"/>
  <c r="AL94" i="131"/>
  <c r="P94" i="131"/>
  <c r="S94" i="131"/>
  <c r="Q94" i="131"/>
  <c r="N94" i="131"/>
  <c r="C94" i="131"/>
  <c r="E94" i="131"/>
  <c r="BE94" i="131"/>
  <c r="I94" i="131"/>
  <c r="O94" i="131"/>
  <c r="BC94" i="131"/>
  <c r="AB94" i="131"/>
  <c r="T94" i="131"/>
  <c r="J94" i="131"/>
  <c r="AM94" i="131"/>
  <c r="AB107" i="131"/>
  <c r="L107" i="131"/>
  <c r="Q107" i="131"/>
  <c r="I107" i="131"/>
  <c r="E107" i="131"/>
  <c r="T107" i="131"/>
  <c r="B107" i="131"/>
  <c r="AU107" i="131"/>
  <c r="M107" i="131"/>
  <c r="C107" i="131"/>
  <c r="AK107" i="131"/>
  <c r="O107" i="131"/>
  <c r="BD107" i="131"/>
  <c r="F107" i="131"/>
  <c r="BC107" i="131"/>
  <c r="BN107" i="131"/>
  <c r="P107" i="131"/>
  <c r="BL107" i="131"/>
  <c r="J107" i="131"/>
  <c r="AM107" i="131"/>
  <c r="AT107" i="131"/>
  <c r="H107" i="131"/>
  <c r="AV107" i="131"/>
  <c r="G107" i="131"/>
  <c r="U107" i="131"/>
  <c r="BE107" i="131"/>
  <c r="AC107" i="131"/>
  <c r="S107" i="131"/>
  <c r="AL107" i="131"/>
  <c r="N107" i="131"/>
  <c r="BM107" i="131"/>
  <c r="AD107" i="131"/>
  <c r="BL63" i="131"/>
  <c r="G63" i="131"/>
  <c r="AL63" i="131"/>
  <c r="BE63" i="131"/>
  <c r="N63" i="131"/>
  <c r="T63" i="131"/>
  <c r="BN63" i="131"/>
  <c r="BM63" i="131"/>
  <c r="AV63" i="131"/>
  <c r="AC63" i="131"/>
  <c r="J63" i="131"/>
  <c r="Q63" i="131"/>
  <c r="H63" i="131"/>
  <c r="AK63" i="131"/>
  <c r="AU63" i="131"/>
  <c r="I63" i="131"/>
  <c r="M63" i="131"/>
  <c r="AM63" i="131"/>
  <c r="AB63" i="131"/>
  <c r="B63" i="131"/>
  <c r="S63" i="131"/>
  <c r="E63" i="131"/>
  <c r="AT63" i="131"/>
  <c r="O63" i="131"/>
  <c r="P63" i="131"/>
  <c r="BC63" i="131"/>
  <c r="AD63" i="131"/>
  <c r="C63" i="131"/>
  <c r="U63" i="131"/>
  <c r="L63" i="131"/>
  <c r="F63" i="131"/>
  <c r="BD63" i="131"/>
  <c r="T55" i="131"/>
  <c r="BE55" i="131"/>
  <c r="B55" i="131"/>
  <c r="BD55" i="131"/>
  <c r="AC55" i="131"/>
  <c r="BC55" i="131"/>
  <c r="E55" i="131"/>
  <c r="F55" i="131"/>
  <c r="AD55" i="131"/>
  <c r="AT55" i="131"/>
  <c r="M55" i="131"/>
  <c r="BL55" i="131"/>
  <c r="L55" i="131"/>
  <c r="J55" i="131"/>
  <c r="N55" i="131"/>
  <c r="I55" i="131"/>
  <c r="P55" i="131"/>
  <c r="U55" i="131"/>
  <c r="AL55" i="131"/>
  <c r="AB55" i="131"/>
  <c r="AM55" i="131"/>
  <c r="C55" i="131"/>
  <c r="AV55" i="131"/>
  <c r="O55" i="131"/>
  <c r="AU55" i="131"/>
  <c r="G55" i="131"/>
  <c r="H55" i="131"/>
  <c r="BM55" i="131"/>
  <c r="AK55" i="131"/>
  <c r="S55" i="131"/>
  <c r="BN55" i="131"/>
  <c r="Q55" i="131"/>
  <c r="AU103" i="131"/>
  <c r="AT103" i="131"/>
  <c r="AC103" i="131"/>
  <c r="J103" i="131"/>
  <c r="P103" i="131"/>
  <c r="F103" i="131"/>
  <c r="BN103" i="131"/>
  <c r="BL103" i="131"/>
  <c r="AB103" i="131"/>
  <c r="O103" i="131"/>
  <c r="I103" i="131"/>
  <c r="U103" i="131"/>
  <c r="T103" i="131"/>
  <c r="C103" i="131"/>
  <c r="N103" i="131"/>
  <c r="H103" i="131"/>
  <c r="E103" i="131"/>
  <c r="G103" i="131"/>
  <c r="AK103" i="131"/>
  <c r="BD103" i="131"/>
  <c r="Q103" i="131"/>
  <c r="M103" i="131"/>
  <c r="L103" i="131"/>
  <c r="AL103" i="131"/>
  <c r="AV103" i="131"/>
  <c r="BE103" i="131"/>
  <c r="BC103" i="131"/>
  <c r="AM103" i="131"/>
  <c r="AD103" i="131"/>
  <c r="B103" i="131"/>
  <c r="S103" i="131"/>
  <c r="BM103" i="131"/>
  <c r="E83" i="131"/>
  <c r="BE83" i="131"/>
  <c r="AT83" i="131"/>
  <c r="P83" i="131"/>
  <c r="B83" i="131"/>
  <c r="J83" i="131"/>
  <c r="AU83" i="131"/>
  <c r="AV83" i="131"/>
  <c r="C83" i="131"/>
  <c r="Q83" i="131"/>
  <c r="S83" i="131"/>
  <c r="BN83" i="131"/>
  <c r="I83" i="131"/>
  <c r="T83" i="131"/>
  <c r="AM83" i="131"/>
  <c r="U83" i="131"/>
  <c r="AL83" i="131"/>
  <c r="BC83" i="131"/>
  <c r="BL83" i="131"/>
  <c r="O83" i="131"/>
  <c r="L83" i="131"/>
  <c r="BD83" i="131"/>
  <c r="AK83" i="131"/>
  <c r="G83" i="131"/>
  <c r="AC83" i="131"/>
  <c r="M83" i="131"/>
  <c r="F83" i="131"/>
  <c r="AD83" i="131"/>
  <c r="H83" i="131"/>
  <c r="AB83" i="131"/>
  <c r="BM83" i="131"/>
  <c r="N83" i="131"/>
  <c r="B15" i="131"/>
  <c r="BE15" i="131"/>
  <c r="BN15" i="131"/>
  <c r="BC15" i="131"/>
  <c r="C15" i="131"/>
  <c r="BL15" i="131"/>
  <c r="BD15" i="131"/>
  <c r="BM15" i="131"/>
  <c r="AU69" i="131"/>
  <c r="AM69" i="131"/>
  <c r="M69" i="131"/>
  <c r="I69" i="131"/>
  <c r="E69" i="131"/>
  <c r="AK69" i="131"/>
  <c r="BM69" i="131"/>
  <c r="AD69" i="131"/>
  <c r="H69" i="131"/>
  <c r="J69" i="131"/>
  <c r="B69" i="131"/>
  <c r="L69" i="131"/>
  <c r="T69" i="131"/>
  <c r="N69" i="131"/>
  <c r="P69" i="131"/>
  <c r="BL69" i="131"/>
  <c r="AC69" i="131"/>
  <c r="AL69" i="131"/>
  <c r="BE69" i="131"/>
  <c r="BD69" i="131"/>
  <c r="AB69" i="131"/>
  <c r="AT69" i="131"/>
  <c r="O69" i="131"/>
  <c r="Q69" i="131"/>
  <c r="G69" i="131"/>
  <c r="BN69" i="131"/>
  <c r="F69" i="131"/>
  <c r="BC69" i="131"/>
  <c r="S69" i="131"/>
  <c r="AV69" i="131"/>
  <c r="C69" i="131"/>
  <c r="U69" i="131"/>
  <c r="AV87" i="131"/>
  <c r="AL87" i="131"/>
  <c r="E87" i="131"/>
  <c r="BE87" i="131"/>
  <c r="AD87" i="131"/>
  <c r="B87" i="131"/>
  <c r="H87" i="131"/>
  <c r="BN87" i="131"/>
  <c r="F87" i="131"/>
  <c r="Q87" i="131"/>
  <c r="M87" i="131"/>
  <c r="N87" i="131"/>
  <c r="L87" i="131"/>
  <c r="S87" i="131"/>
  <c r="J87" i="131"/>
  <c r="G87" i="131"/>
  <c r="C87" i="131"/>
  <c r="AT87" i="131"/>
  <c r="P87" i="131"/>
  <c r="AK87" i="131"/>
  <c r="AB87" i="131"/>
  <c r="AM87" i="131"/>
  <c r="AU87" i="131"/>
  <c r="BM87" i="131"/>
  <c r="AC87" i="131"/>
  <c r="BC87" i="131"/>
  <c r="O87" i="131"/>
  <c r="I87" i="131"/>
  <c r="T87" i="131"/>
  <c r="BD87" i="131"/>
  <c r="U87" i="131"/>
  <c r="BL87" i="131"/>
  <c r="BD50" i="131"/>
  <c r="BN50" i="131"/>
  <c r="C50" i="131"/>
  <c r="BM50" i="131"/>
  <c r="BE50" i="131"/>
  <c r="BC50" i="131"/>
  <c r="B50" i="131"/>
  <c r="BL50" i="131"/>
  <c r="P118" i="131"/>
  <c r="AD118" i="131"/>
  <c r="T118" i="131"/>
  <c r="AL118" i="131"/>
  <c r="AK118" i="131"/>
  <c r="O118" i="131"/>
  <c r="AC118" i="131"/>
  <c r="F118" i="131"/>
  <c r="E118" i="131"/>
  <c r="AM118" i="131"/>
  <c r="BD118" i="131"/>
  <c r="S118" i="131"/>
  <c r="Q118" i="131"/>
  <c r="J118" i="131"/>
  <c r="BN118" i="131"/>
  <c r="I118" i="131"/>
  <c r="G118" i="131"/>
  <c r="BM118" i="131"/>
  <c r="H118" i="131"/>
  <c r="AU118" i="131"/>
  <c r="BC118" i="131"/>
  <c r="B118" i="131"/>
  <c r="M118" i="131"/>
  <c r="AB118" i="131"/>
  <c r="AT118" i="131"/>
  <c r="U118" i="131"/>
  <c r="N118" i="131"/>
  <c r="C118" i="131"/>
  <c r="BE118" i="131"/>
  <c r="AV118" i="131"/>
  <c r="BL118" i="131"/>
  <c r="L118" i="131"/>
  <c r="AM85" i="131"/>
  <c r="F85" i="131"/>
  <c r="U85" i="131"/>
  <c r="I85" i="131"/>
  <c r="M85" i="131"/>
  <c r="P85" i="131"/>
  <c r="AL85" i="131"/>
  <c r="BL85" i="131"/>
  <c r="AV85" i="131"/>
  <c r="BC85" i="131"/>
  <c r="AC85" i="131"/>
  <c r="E85" i="131"/>
  <c r="G85" i="131"/>
  <c r="AT85" i="131"/>
  <c r="J85" i="131"/>
  <c r="BM85" i="131"/>
  <c r="T85" i="131"/>
  <c r="BN85" i="131"/>
  <c r="O85" i="131"/>
  <c r="BD85" i="131"/>
  <c r="N85" i="131"/>
  <c r="BE85" i="131"/>
  <c r="H85" i="131"/>
  <c r="Q85" i="131"/>
  <c r="AD85" i="131"/>
  <c r="AB85" i="131"/>
  <c r="AU85" i="131"/>
  <c r="B85" i="131"/>
  <c r="L85" i="131"/>
  <c r="AK85" i="131"/>
  <c r="S85" i="131"/>
  <c r="C85" i="131"/>
  <c r="S56" i="131"/>
  <c r="AK56" i="131"/>
  <c r="AL56" i="131"/>
  <c r="T56" i="131"/>
  <c r="BC56" i="131"/>
  <c r="O56" i="131"/>
  <c r="AC56" i="131"/>
  <c r="E56" i="131"/>
  <c r="L56" i="131"/>
  <c r="BN56" i="131"/>
  <c r="BL56" i="131"/>
  <c r="U56" i="131"/>
  <c r="B56" i="131"/>
  <c r="AD56" i="131"/>
  <c r="AU56" i="131"/>
  <c r="I56" i="131"/>
  <c r="AB56" i="131"/>
  <c r="BM56" i="131"/>
  <c r="J56" i="131"/>
  <c r="BD56" i="131"/>
  <c r="M56" i="131"/>
  <c r="C56" i="131"/>
  <c r="G56" i="131"/>
  <c r="Q56" i="131"/>
  <c r="AV56" i="131"/>
  <c r="F56" i="131"/>
  <c r="P56" i="131"/>
  <c r="AT56" i="131"/>
  <c r="BE56" i="131"/>
  <c r="H56" i="131"/>
  <c r="N56" i="131"/>
  <c r="AM56" i="131"/>
  <c r="E66" i="131"/>
  <c r="BE66" i="131"/>
  <c r="AU66" i="131"/>
  <c r="T66" i="131"/>
  <c r="AC66" i="131"/>
  <c r="S66" i="131"/>
  <c r="AB66" i="131"/>
  <c r="C66" i="131"/>
  <c r="F66" i="131"/>
  <c r="P66" i="131"/>
  <c r="AD66" i="131"/>
  <c r="H66" i="131"/>
  <c r="O66" i="131"/>
  <c r="J66" i="131"/>
  <c r="BC66" i="131"/>
  <c r="BN66" i="131"/>
  <c r="B66" i="131"/>
  <c r="AV66" i="131"/>
  <c r="BM66" i="131"/>
  <c r="AT66" i="131"/>
  <c r="N66" i="131"/>
  <c r="L66" i="131"/>
  <c r="Q66" i="131"/>
  <c r="M66" i="131"/>
  <c r="AK66" i="131"/>
  <c r="G66" i="131"/>
  <c r="AM66" i="131"/>
  <c r="BL66" i="131"/>
  <c r="U66" i="131"/>
  <c r="BD66" i="131"/>
  <c r="I66" i="131"/>
  <c r="AL66" i="131"/>
  <c r="BC59" i="131"/>
  <c r="AT59" i="131"/>
  <c r="S59" i="131"/>
  <c r="B59" i="131"/>
  <c r="C59" i="131"/>
  <c r="AU59" i="131"/>
  <c r="H59" i="131"/>
  <c r="U59" i="131"/>
  <c r="F59" i="131"/>
  <c r="N59" i="131"/>
  <c r="M59" i="131"/>
  <c r="AK59" i="131"/>
  <c r="BM59" i="131"/>
  <c r="I59" i="131"/>
  <c r="BE59" i="131"/>
  <c r="P59" i="131"/>
  <c r="BD59" i="131"/>
  <c r="L59" i="131"/>
  <c r="AB59" i="131"/>
  <c r="AL59" i="131"/>
  <c r="BL59" i="131"/>
  <c r="T59" i="131"/>
  <c r="E59" i="131"/>
  <c r="AD59" i="131"/>
  <c r="AV59" i="131"/>
  <c r="AM59" i="131"/>
  <c r="O59" i="131"/>
  <c r="J59" i="131"/>
  <c r="G59" i="131"/>
  <c r="AC59" i="131"/>
  <c r="Q59" i="131"/>
  <c r="BN59" i="131"/>
  <c r="BL25" i="131"/>
  <c r="BC25" i="131"/>
  <c r="BE25" i="131"/>
  <c r="B25" i="131"/>
  <c r="BM25" i="131"/>
  <c r="BD25" i="131"/>
  <c r="BN25" i="131"/>
  <c r="C25" i="131"/>
  <c r="C5" i="131"/>
  <c r="BD5" i="131"/>
  <c r="BC5" i="131"/>
  <c r="BL5" i="131"/>
  <c r="BM5" i="131"/>
  <c r="BE5" i="131"/>
  <c r="B5" i="131"/>
  <c r="BN5" i="131"/>
  <c r="BE18" i="131"/>
  <c r="B18" i="131"/>
  <c r="C18" i="131"/>
  <c r="BC18" i="131"/>
  <c r="BN18" i="131"/>
  <c r="BL18" i="131"/>
  <c r="BM18" i="131"/>
  <c r="BD18" i="131"/>
  <c r="AC105" i="131"/>
  <c r="H105" i="131"/>
  <c r="AV105" i="131"/>
  <c r="B105" i="131"/>
  <c r="AB105" i="131"/>
  <c r="G105" i="131"/>
  <c r="J105" i="131"/>
  <c r="BL105" i="131"/>
  <c r="M105" i="131"/>
  <c r="BD105" i="131"/>
  <c r="L105" i="131"/>
  <c r="AK105" i="131"/>
  <c r="O105" i="131"/>
  <c r="T105" i="131"/>
  <c r="AU105" i="131"/>
  <c r="AD105" i="131"/>
  <c r="E105" i="131"/>
  <c r="BC105" i="131"/>
  <c r="I105" i="131"/>
  <c r="U105" i="131"/>
  <c r="C105" i="131"/>
  <c r="F105" i="131"/>
  <c r="N105" i="131"/>
  <c r="AM105" i="131"/>
  <c r="S105" i="131"/>
  <c r="Q105" i="131"/>
  <c r="BE105" i="131"/>
  <c r="P105" i="131"/>
  <c r="AT105" i="131"/>
  <c r="AL105" i="131"/>
  <c r="BM105" i="131"/>
  <c r="BN105" i="131"/>
  <c r="BD44" i="131"/>
  <c r="BM44" i="131"/>
  <c r="BN44" i="131"/>
  <c r="BL44" i="131"/>
  <c r="BE44" i="131"/>
  <c r="B44" i="131"/>
  <c r="C44" i="131"/>
  <c r="BC44" i="131"/>
  <c r="BM54" i="131"/>
  <c r="U54" i="131"/>
  <c r="J54" i="131"/>
  <c r="Q54" i="131"/>
  <c r="S54" i="131"/>
  <c r="P54" i="131"/>
  <c r="M54" i="131"/>
  <c r="AT54" i="131"/>
  <c r="AD54" i="131"/>
  <c r="BE54" i="131"/>
  <c r="BD54" i="131"/>
  <c r="C54" i="131"/>
  <c r="H54" i="131"/>
  <c r="AL54" i="131"/>
  <c r="AM54" i="131"/>
  <c r="I54" i="131"/>
  <c r="BC54" i="131"/>
  <c r="N54" i="131"/>
  <c r="T54" i="131"/>
  <c r="E54" i="131"/>
  <c r="O54" i="131"/>
  <c r="BN54" i="131"/>
  <c r="AK54" i="131"/>
  <c r="AV54" i="131"/>
  <c r="AB54" i="131"/>
  <c r="BL54" i="131"/>
  <c r="F54" i="131"/>
  <c r="L54" i="131"/>
  <c r="G54" i="131"/>
  <c r="AC54" i="131"/>
  <c r="AU54" i="131"/>
  <c r="B54" i="131"/>
  <c r="B13" i="131"/>
  <c r="BN13" i="131"/>
  <c r="BM13" i="131"/>
  <c r="BC13" i="131"/>
  <c r="C13" i="131"/>
  <c r="BD13" i="131"/>
  <c r="BL13" i="131"/>
  <c r="BE13" i="131"/>
  <c r="AB124" i="131"/>
  <c r="S124" i="131"/>
  <c r="BD124" i="131"/>
  <c r="P124" i="131"/>
  <c r="M124" i="131"/>
  <c r="O124" i="131"/>
  <c r="G124" i="131"/>
  <c r="F124" i="131"/>
  <c r="J124" i="131"/>
  <c r="AK124" i="131"/>
  <c r="Q124" i="131"/>
  <c r="L124" i="131"/>
  <c r="AU124" i="131"/>
  <c r="BM124" i="131"/>
  <c r="AV124" i="131"/>
  <c r="U124" i="131"/>
  <c r="I124" i="131"/>
  <c r="BN124" i="131"/>
  <c r="AL124" i="131"/>
  <c r="AT124" i="131"/>
  <c r="H124" i="131"/>
  <c r="N124" i="131"/>
  <c r="C124" i="131"/>
  <c r="T124" i="131"/>
  <c r="BC124" i="131"/>
  <c r="AC124" i="131"/>
  <c r="B124" i="131"/>
  <c r="E124" i="131"/>
  <c r="BE124" i="131"/>
  <c r="AD124" i="131"/>
  <c r="BL124" i="131"/>
  <c r="AM124" i="131"/>
  <c r="BC21" i="131"/>
  <c r="C21" i="131"/>
  <c r="B21" i="131"/>
  <c r="BE21" i="131"/>
  <c r="BN21" i="131"/>
  <c r="BD21" i="131"/>
  <c r="BM21" i="131"/>
  <c r="BL21" i="131"/>
  <c r="BC125" i="131"/>
  <c r="P125" i="131"/>
  <c r="U125" i="131"/>
  <c r="T125" i="131"/>
  <c r="BN125" i="131"/>
  <c r="AM125" i="131"/>
  <c r="H125" i="131"/>
  <c r="BM125" i="131"/>
  <c r="G125" i="131"/>
  <c r="C125" i="131"/>
  <c r="J125" i="131"/>
  <c r="L125" i="131"/>
  <c r="F125" i="131"/>
  <c r="AC125" i="131"/>
  <c r="BL125" i="131"/>
  <c r="AT125" i="131"/>
  <c r="O125" i="131"/>
  <c r="AD125" i="131"/>
  <c r="BE125" i="131"/>
  <c r="S125" i="131"/>
  <c r="M125" i="131"/>
  <c r="AK125" i="131"/>
  <c r="B125" i="131"/>
  <c r="AU125" i="131"/>
  <c r="AB125" i="131"/>
  <c r="E125" i="131"/>
  <c r="BD125" i="131"/>
  <c r="AV125" i="131"/>
  <c r="I125" i="131"/>
  <c r="AL125" i="131"/>
  <c r="Q125" i="131"/>
  <c r="N125" i="131"/>
  <c r="L57" i="131"/>
  <c r="BD57" i="131"/>
  <c r="BE57" i="131"/>
  <c r="AL57" i="131"/>
  <c r="G57" i="131"/>
  <c r="AU57" i="131"/>
  <c r="AC57" i="131"/>
  <c r="B57" i="131"/>
  <c r="AK57" i="131"/>
  <c r="S57" i="131"/>
  <c r="BM57" i="131"/>
  <c r="AD57" i="131"/>
  <c r="O57" i="131"/>
  <c r="T57" i="131"/>
  <c r="AV57" i="131"/>
  <c r="H57" i="131"/>
  <c r="F57" i="131"/>
  <c r="I57" i="131"/>
  <c r="N57" i="131"/>
  <c r="Q57" i="131"/>
  <c r="C57" i="131"/>
  <c r="AB57" i="131"/>
  <c r="BC57" i="131"/>
  <c r="E57" i="131"/>
  <c r="M57" i="131"/>
  <c r="P57" i="131"/>
  <c r="BN57" i="131"/>
  <c r="AM57" i="131"/>
  <c r="J57" i="131"/>
  <c r="U57" i="131"/>
  <c r="AT57" i="131"/>
  <c r="BL57" i="131"/>
  <c r="BD117" i="131"/>
  <c r="O117" i="131"/>
  <c r="T117" i="131"/>
  <c r="BC117" i="131"/>
  <c r="BE117" i="131"/>
  <c r="Q117" i="131"/>
  <c r="L117" i="131"/>
  <c r="BM117" i="131"/>
  <c r="U117" i="131"/>
  <c r="C117" i="131"/>
  <c r="E117" i="131"/>
  <c r="I117" i="131"/>
  <c r="AK117" i="131"/>
  <c r="AB117" i="131"/>
  <c r="AT117" i="131"/>
  <c r="AC117" i="131"/>
  <c r="J117" i="131"/>
  <c r="P117" i="131"/>
  <c r="H117" i="131"/>
  <c r="F117" i="131"/>
  <c r="G117" i="131"/>
  <c r="M117" i="131"/>
  <c r="AV117" i="131"/>
  <c r="S117" i="131"/>
  <c r="BN117" i="131"/>
  <c r="AU117" i="131"/>
  <c r="BL117" i="131"/>
  <c r="AL117" i="131"/>
  <c r="B117" i="131"/>
  <c r="AM117" i="131"/>
  <c r="AD117" i="131"/>
  <c r="N117" i="131"/>
  <c r="C36" i="131"/>
  <c r="BM36" i="131"/>
  <c r="BD36" i="131"/>
  <c r="B36" i="131"/>
  <c r="BE36" i="131"/>
  <c r="BC36" i="131"/>
  <c r="BN36" i="131"/>
  <c r="BL36" i="131"/>
  <c r="BL30" i="131"/>
  <c r="BC30" i="131"/>
  <c r="BE30" i="131"/>
  <c r="B30" i="131"/>
  <c r="BM30" i="131"/>
  <c r="BN30" i="131"/>
  <c r="C30" i="131"/>
  <c r="BD30" i="131"/>
  <c r="C64" i="131"/>
  <c r="BM64" i="131"/>
  <c r="AK64" i="131"/>
  <c r="AV64" i="131"/>
  <c r="T64" i="131"/>
  <c r="G64" i="131"/>
  <c r="O64" i="131"/>
  <c r="AU64" i="131"/>
  <c r="B64" i="131"/>
  <c r="AC64" i="131"/>
  <c r="H64" i="131"/>
  <c r="BN64" i="131"/>
  <c r="N64" i="131"/>
  <c r="BE64" i="131"/>
  <c r="S64" i="131"/>
  <c r="AL64" i="131"/>
  <c r="U64" i="131"/>
  <c r="Q64" i="131"/>
  <c r="AT64" i="131"/>
  <c r="I64" i="131"/>
  <c r="AD64" i="131"/>
  <c r="BC64" i="131"/>
  <c r="J64" i="131"/>
  <c r="AB64" i="131"/>
  <c r="BL64" i="131"/>
  <c r="E64" i="131"/>
  <c r="P64" i="131"/>
  <c r="F64" i="131"/>
  <c r="M64" i="131"/>
  <c r="BD64" i="131"/>
  <c r="AM64" i="131"/>
  <c r="L64" i="131"/>
  <c r="BL40" i="131"/>
  <c r="BN40" i="131"/>
  <c r="BD40" i="131"/>
  <c r="BM40" i="131"/>
  <c r="B40" i="131"/>
  <c r="C40" i="131"/>
  <c r="BC40" i="131"/>
  <c r="BE40" i="131"/>
  <c r="AL67" i="131"/>
  <c r="BL67" i="131"/>
  <c r="G67" i="131"/>
  <c r="BN67" i="131"/>
  <c r="H67" i="131"/>
  <c r="AT67" i="131"/>
  <c r="AV67" i="131"/>
  <c r="AK67" i="131"/>
  <c r="I67" i="131"/>
  <c r="BD67" i="131"/>
  <c r="AC67" i="131"/>
  <c r="E67" i="131"/>
  <c r="AM67" i="131"/>
  <c r="F67" i="131"/>
  <c r="J67" i="131"/>
  <c r="T67" i="131"/>
  <c r="S67" i="131"/>
  <c r="AD67" i="131"/>
  <c r="BC67" i="131"/>
  <c r="Q67" i="131"/>
  <c r="L67" i="131"/>
  <c r="O67" i="131"/>
  <c r="C67" i="131"/>
  <c r="B67" i="131"/>
  <c r="N67" i="131"/>
  <c r="AB67" i="131"/>
  <c r="U67" i="131"/>
  <c r="M67" i="131"/>
  <c r="P67" i="131"/>
  <c r="BM67" i="131"/>
  <c r="BE67" i="131"/>
  <c r="AU67" i="131"/>
  <c r="AC111" i="131"/>
  <c r="AT111" i="131"/>
  <c r="H111" i="131"/>
  <c r="N111" i="131"/>
  <c r="AL111" i="131"/>
  <c r="B111" i="131"/>
  <c r="U111" i="131"/>
  <c r="AD111" i="131"/>
  <c r="S111" i="131"/>
  <c r="BD111" i="131"/>
  <c r="AB111" i="131"/>
  <c r="AM111" i="131"/>
  <c r="BC111" i="131"/>
  <c r="C111" i="131"/>
  <c r="G111" i="131"/>
  <c r="L111" i="131"/>
  <c r="BL111" i="131"/>
  <c r="M111" i="131"/>
  <c r="AU111" i="131"/>
  <c r="T111" i="131"/>
  <c r="BN111" i="131"/>
  <c r="E111" i="131"/>
  <c r="BM111" i="131"/>
  <c r="AV111" i="131"/>
  <c r="P111" i="131"/>
  <c r="I111" i="131"/>
  <c r="O111" i="131"/>
  <c r="BE111" i="131"/>
  <c r="J111" i="131"/>
  <c r="Q111" i="131"/>
  <c r="F111" i="131"/>
  <c r="AK111" i="131"/>
  <c r="BC92" i="131"/>
  <c r="L92" i="131"/>
  <c r="U92" i="131"/>
  <c r="AT92" i="131"/>
  <c r="M92" i="131"/>
  <c r="Q92" i="131"/>
  <c r="O92" i="131"/>
  <c r="H92" i="131"/>
  <c r="C92" i="131"/>
  <c r="F92" i="131"/>
  <c r="AB92" i="131"/>
  <c r="AU92" i="131"/>
  <c r="I92" i="131"/>
  <c r="N92" i="131"/>
  <c r="S92" i="131"/>
  <c r="T92" i="131"/>
  <c r="P92" i="131"/>
  <c r="BN92" i="131"/>
  <c r="AM92" i="131"/>
  <c r="BL92" i="131"/>
  <c r="AD92" i="131"/>
  <c r="AC92" i="131"/>
  <c r="E92" i="131"/>
  <c r="AL92" i="131"/>
  <c r="BM92" i="131"/>
  <c r="B92" i="131"/>
  <c r="BE92" i="131"/>
  <c r="G92" i="131"/>
  <c r="J92" i="131"/>
  <c r="BD92" i="131"/>
  <c r="AK92" i="131"/>
  <c r="AV92" i="131"/>
  <c r="C38" i="131"/>
  <c r="B38" i="131"/>
  <c r="BE38" i="131"/>
  <c r="BM38" i="131"/>
  <c r="BN38" i="131"/>
  <c r="BL38" i="131"/>
  <c r="BD38" i="131"/>
  <c r="BC38" i="131"/>
  <c r="J58" i="131"/>
  <c r="B58" i="131"/>
  <c r="AB58" i="131"/>
  <c r="E58" i="131"/>
  <c r="BL58" i="131"/>
  <c r="O58" i="131"/>
  <c r="P58" i="131"/>
  <c r="AD58" i="131"/>
  <c r="BE58" i="131"/>
  <c r="I58" i="131"/>
  <c r="T58" i="131"/>
  <c r="AV58" i="131"/>
  <c r="AK58" i="131"/>
  <c r="F58" i="131"/>
  <c r="L58" i="131"/>
  <c r="H58" i="131"/>
  <c r="BD58" i="131"/>
  <c r="M58" i="131"/>
  <c r="AC58" i="131"/>
  <c r="G58" i="131"/>
  <c r="Q58" i="131"/>
  <c r="BC58" i="131"/>
  <c r="AU58" i="131"/>
  <c r="U58" i="131"/>
  <c r="BM58" i="131"/>
  <c r="C58" i="131"/>
  <c r="N58" i="131"/>
  <c r="BN58" i="131"/>
  <c r="AM58" i="131"/>
  <c r="AL58" i="131"/>
  <c r="S58" i="131"/>
  <c r="AT58" i="131"/>
  <c r="BM80" i="131"/>
  <c r="AU80" i="131"/>
  <c r="AT80" i="131"/>
  <c r="BD80" i="131"/>
  <c r="S80" i="131"/>
  <c r="AV80" i="131"/>
  <c r="AM80" i="131"/>
  <c r="BN80" i="131"/>
  <c r="BC80" i="131"/>
  <c r="BL80" i="131"/>
  <c r="AC80" i="131"/>
  <c r="B80" i="131"/>
  <c r="C80" i="131"/>
  <c r="N80" i="131"/>
  <c r="P80" i="131"/>
  <c r="BE80" i="131"/>
  <c r="M80" i="131"/>
  <c r="AL80" i="131"/>
  <c r="AD80" i="131"/>
  <c r="AB80" i="131"/>
  <c r="E80" i="131"/>
  <c r="L80" i="131"/>
  <c r="AK80" i="131"/>
  <c r="I80" i="131"/>
  <c r="U80" i="131"/>
  <c r="J80" i="131"/>
  <c r="Q80" i="131"/>
  <c r="T80" i="131"/>
  <c r="F80" i="131"/>
  <c r="H80" i="131"/>
  <c r="O80" i="131"/>
  <c r="G80" i="131"/>
  <c r="BC119" i="131"/>
  <c r="B119" i="131"/>
  <c r="AV119" i="131"/>
  <c r="AD119" i="131"/>
  <c r="AL119" i="131"/>
  <c r="T119" i="131"/>
  <c r="Q119" i="131"/>
  <c r="M119" i="131"/>
  <c r="J119" i="131"/>
  <c r="AK119" i="131"/>
  <c r="U119" i="131"/>
  <c r="BL119" i="131"/>
  <c r="I119" i="131"/>
  <c r="AT119" i="131"/>
  <c r="BD119" i="131"/>
  <c r="BE119" i="131"/>
  <c r="AU119" i="131"/>
  <c r="H119" i="131"/>
  <c r="E119" i="131"/>
  <c r="S119" i="131"/>
  <c r="N119" i="131"/>
  <c r="BM119" i="131"/>
  <c r="L119" i="131"/>
  <c r="G119" i="131"/>
  <c r="O119" i="131"/>
  <c r="P119" i="131"/>
  <c r="AM119" i="131"/>
  <c r="AC119" i="131"/>
  <c r="C119" i="131"/>
  <c r="BN119" i="131"/>
  <c r="F119" i="131"/>
  <c r="AB119" i="131"/>
  <c r="BD128" i="131"/>
  <c r="AB128" i="131"/>
  <c r="O128" i="131"/>
  <c r="AM128" i="131"/>
  <c r="AV128" i="131"/>
  <c r="AL128" i="131"/>
  <c r="G128" i="131"/>
  <c r="J128" i="131"/>
  <c r="I128" i="131"/>
  <c r="T128" i="131"/>
  <c r="BM128" i="131"/>
  <c r="BC128" i="131"/>
  <c r="AU128" i="131"/>
  <c r="H128" i="131"/>
  <c r="BN128" i="131"/>
  <c r="B128" i="131"/>
  <c r="AK128" i="131"/>
  <c r="BE128" i="131"/>
  <c r="M128" i="131"/>
  <c r="AC128" i="131"/>
  <c r="BL128" i="131"/>
  <c r="U128" i="131"/>
  <c r="N128" i="131"/>
  <c r="L128" i="131"/>
  <c r="AT128" i="131"/>
  <c r="S128" i="131"/>
  <c r="AD128" i="131"/>
  <c r="Q128" i="131"/>
  <c r="E128" i="131"/>
  <c r="F128" i="131"/>
  <c r="C128" i="131"/>
  <c r="P128" i="131"/>
  <c r="BN33" i="131"/>
  <c r="BM33" i="131"/>
  <c r="BD33" i="131"/>
  <c r="BE33" i="131"/>
  <c r="B33" i="131"/>
  <c r="BC33" i="131"/>
  <c r="C33" i="131"/>
  <c r="BL33" i="131"/>
  <c r="BN115" i="131"/>
  <c r="AD115" i="131"/>
  <c r="BL115" i="131"/>
  <c r="N115" i="131"/>
  <c r="BM115" i="131"/>
  <c r="E115" i="131"/>
  <c r="BC115" i="131"/>
  <c r="P115" i="131"/>
  <c r="T115" i="131"/>
  <c r="BE115" i="131"/>
  <c r="L115" i="131"/>
  <c r="AT115" i="131"/>
  <c r="B115" i="131"/>
  <c r="C115" i="131"/>
  <c r="S115" i="131"/>
  <c r="AB115" i="131"/>
  <c r="BD115" i="131"/>
  <c r="H115" i="131"/>
  <c r="G115" i="131"/>
  <c r="O115" i="131"/>
  <c r="Q115" i="131"/>
  <c r="AC115" i="131"/>
  <c r="M115" i="131"/>
  <c r="AK115" i="131"/>
  <c r="J115" i="131"/>
  <c r="AM115" i="131"/>
  <c r="U115" i="131"/>
  <c r="F115" i="131"/>
  <c r="AL115" i="131"/>
  <c r="AU115" i="131"/>
  <c r="I115" i="131"/>
  <c r="AV115" i="131"/>
  <c r="BL37" i="131"/>
  <c r="BD37" i="131"/>
  <c r="BM37" i="131"/>
  <c r="BC37" i="131"/>
  <c r="BE37" i="131"/>
  <c r="B37" i="131"/>
  <c r="C37" i="131"/>
  <c r="BN37" i="131"/>
  <c r="M62" i="122"/>
  <c r="N62" i="122"/>
  <c r="L62" i="122"/>
  <c r="M49" i="122"/>
  <c r="L49" i="122"/>
  <c r="N49" i="122"/>
  <c r="N52" i="122"/>
  <c r="L52" i="122"/>
  <c r="M52" i="122"/>
  <c r="M33" i="122"/>
  <c r="N33" i="122"/>
  <c r="L33" i="122"/>
  <c r="N40" i="122"/>
  <c r="M40" i="122"/>
  <c r="L40" i="122"/>
  <c r="L66" i="122"/>
  <c r="N66" i="122"/>
  <c r="M66" i="122"/>
  <c r="L29" i="122"/>
  <c r="N29" i="122"/>
  <c r="M29" i="122"/>
  <c r="L54" i="122"/>
  <c r="N54" i="122"/>
  <c r="M54" i="122"/>
  <c r="M57" i="122"/>
  <c r="L57" i="122"/>
  <c r="N57" i="122"/>
  <c r="N43" i="122"/>
  <c r="L43" i="122"/>
  <c r="M43" i="122"/>
  <c r="L64" i="122"/>
  <c r="N64" i="122"/>
  <c r="M64" i="122"/>
  <c r="N50" i="122"/>
  <c r="L50" i="122"/>
  <c r="M50" i="122"/>
  <c r="AL70" i="131"/>
  <c r="AU70" i="131"/>
  <c r="AV70" i="131"/>
  <c r="AB70" i="131"/>
  <c r="B70" i="131"/>
  <c r="S70" i="131"/>
  <c r="P70" i="131"/>
  <c r="J70" i="131"/>
  <c r="F70" i="131"/>
  <c r="BE70" i="131"/>
  <c r="BM70" i="131"/>
  <c r="I70" i="131"/>
  <c r="L70" i="131"/>
  <c r="M70" i="131"/>
  <c r="G70" i="131"/>
  <c r="AK70" i="131"/>
  <c r="N70" i="131"/>
  <c r="AD70" i="131"/>
  <c r="AM70" i="131"/>
  <c r="H70" i="131"/>
  <c r="BL70" i="131"/>
  <c r="BN70" i="131"/>
  <c r="O70" i="131"/>
  <c r="T70" i="131"/>
  <c r="C70" i="131"/>
  <c r="AT70" i="131"/>
  <c r="U70" i="131"/>
  <c r="AC70" i="131"/>
  <c r="Q70" i="131"/>
  <c r="E70" i="131"/>
  <c r="BC70" i="131"/>
  <c r="BD70" i="131"/>
  <c r="BL41" i="131"/>
  <c r="BE41" i="131"/>
  <c r="BD41" i="131"/>
  <c r="BC41" i="131"/>
  <c r="BN41" i="131"/>
  <c r="B41" i="131"/>
  <c r="BM41" i="131"/>
  <c r="C41" i="131"/>
  <c r="M63" i="124"/>
  <c r="N63" i="124"/>
  <c r="L63" i="124"/>
  <c r="L64" i="124"/>
  <c r="M64" i="124"/>
  <c r="N64" i="124"/>
  <c r="L39" i="125"/>
  <c r="N39" i="125"/>
  <c r="M39" i="125"/>
  <c r="O55" i="123"/>
  <c r="P55" i="123"/>
  <c r="K55" i="123"/>
  <c r="Q55" i="123"/>
  <c r="K64" i="125"/>
  <c r="P64" i="125"/>
  <c r="O64" i="125"/>
  <c r="Q64" i="125"/>
  <c r="N47" i="127"/>
  <c r="L47" i="127"/>
  <c r="M47" i="127"/>
  <c r="P65" i="126"/>
  <c r="K65" i="126"/>
  <c r="O65" i="126"/>
  <c r="Q65" i="126"/>
  <c r="M64" i="126"/>
  <c r="L64" i="126"/>
  <c r="N64" i="126"/>
  <c r="P46" i="125"/>
  <c r="K46" i="125"/>
  <c r="Q46" i="125"/>
  <c r="O46" i="125"/>
  <c r="N44" i="123"/>
  <c r="M44" i="123"/>
  <c r="L44" i="123"/>
  <c r="N38" i="125"/>
  <c r="M38" i="125"/>
  <c r="L38" i="125"/>
  <c r="M48" i="126"/>
  <c r="L48" i="126"/>
  <c r="N48" i="126"/>
  <c r="K29" i="125"/>
  <c r="Q29" i="125"/>
  <c r="P29" i="125"/>
  <c r="O29" i="125"/>
  <c r="P48" i="127"/>
  <c r="O48" i="127"/>
  <c r="K48" i="127"/>
  <c r="Q48" i="127"/>
  <c r="L42" i="125"/>
  <c r="N42" i="125"/>
  <c r="M42" i="125"/>
  <c r="O51" i="126"/>
  <c r="K51" i="126"/>
  <c r="Q51" i="126"/>
  <c r="P51" i="126"/>
  <c r="Q31" i="122"/>
  <c r="K31" i="122"/>
  <c r="P31" i="122"/>
  <c r="O31" i="122"/>
  <c r="N63" i="125"/>
  <c r="L63" i="125"/>
  <c r="M63" i="125"/>
  <c r="M62" i="126"/>
  <c r="N62" i="126"/>
  <c r="L62" i="126"/>
  <c r="K51" i="123"/>
  <c r="O51" i="123"/>
  <c r="Q51" i="123"/>
  <c r="P51" i="123"/>
  <c r="L60" i="127"/>
  <c r="N60" i="127"/>
  <c r="M60" i="127"/>
  <c r="L61" i="126"/>
  <c r="M61" i="126"/>
  <c r="N61" i="126"/>
  <c r="Q32" i="125"/>
  <c r="O32" i="125"/>
  <c r="P32" i="125"/>
  <c r="K32" i="125"/>
  <c r="K36" i="127"/>
  <c r="Q36" i="127"/>
  <c r="O36" i="127"/>
  <c r="P36" i="127"/>
  <c r="O56" i="127"/>
  <c r="P56" i="127"/>
  <c r="K56" i="127"/>
  <c r="Q56" i="127"/>
  <c r="O43" i="126"/>
  <c r="K43" i="126"/>
  <c r="Q43" i="126"/>
  <c r="P43" i="126"/>
  <c r="N42" i="124"/>
  <c r="L42" i="124"/>
  <c r="M42" i="124"/>
  <c r="N59" i="126"/>
  <c r="L59" i="126"/>
  <c r="M59" i="126"/>
  <c r="M50" i="125"/>
  <c r="L50" i="125"/>
  <c r="N50" i="125"/>
  <c r="O65" i="127"/>
  <c r="Q65" i="127"/>
  <c r="P65" i="127"/>
  <c r="K65" i="127"/>
  <c r="M45" i="123"/>
  <c r="N45" i="123"/>
  <c r="L45" i="123"/>
  <c r="P44" i="123"/>
  <c r="Q44" i="123"/>
  <c r="O44" i="123"/>
  <c r="K44" i="123"/>
  <c r="M35" i="127"/>
  <c r="L35" i="127"/>
  <c r="N35" i="127"/>
  <c r="N50" i="124"/>
  <c r="L50" i="124"/>
  <c r="M50" i="124"/>
  <c r="Q54" i="124"/>
  <c r="P54" i="124"/>
  <c r="O54" i="124"/>
  <c r="K54" i="124"/>
  <c r="N60" i="124"/>
  <c r="M60" i="124"/>
  <c r="L60" i="124"/>
  <c r="N64" i="123"/>
  <c r="L64" i="123"/>
  <c r="M64" i="123"/>
  <c r="P55" i="126"/>
  <c r="Q55" i="126"/>
  <c r="O55" i="126"/>
  <c r="K55" i="126"/>
  <c r="P61" i="125"/>
  <c r="K61" i="125"/>
  <c r="O61" i="125"/>
  <c r="Q61" i="125"/>
  <c r="N40" i="127"/>
  <c r="L40" i="127"/>
  <c r="M40" i="127"/>
  <c r="P64" i="124"/>
  <c r="Q64" i="124"/>
  <c r="K64" i="124"/>
  <c r="O64" i="124"/>
  <c r="P38" i="123"/>
  <c r="K38" i="123"/>
  <c r="Q38" i="123"/>
  <c r="O38" i="123"/>
  <c r="L53" i="125"/>
  <c r="N53" i="125"/>
  <c r="M53" i="125"/>
  <c r="O47" i="126"/>
  <c r="K47" i="126"/>
  <c r="P47" i="126"/>
  <c r="Q47" i="126"/>
  <c r="N52" i="127"/>
  <c r="M52" i="127"/>
  <c r="L52" i="127"/>
  <c r="M65" i="127"/>
  <c r="N65" i="127"/>
  <c r="L65" i="127"/>
  <c r="N43" i="127"/>
  <c r="M43" i="127"/>
  <c r="L43" i="127"/>
  <c r="O45" i="125"/>
  <c r="K45" i="125"/>
  <c r="Q45" i="125"/>
  <c r="P45" i="125"/>
  <c r="M39" i="123"/>
  <c r="N39" i="123"/>
  <c r="L39" i="123"/>
  <c r="M57" i="125"/>
  <c r="L57" i="125"/>
  <c r="N57" i="125"/>
  <c r="N32" i="127"/>
  <c r="L32" i="127"/>
  <c r="M32" i="127"/>
  <c r="L62" i="123"/>
  <c r="N62" i="123"/>
  <c r="M62" i="123"/>
  <c r="Q49" i="123"/>
  <c r="O49" i="123"/>
  <c r="K49" i="123"/>
  <c r="P49" i="123"/>
  <c r="N53" i="127"/>
  <c r="M53" i="127"/>
  <c r="L53" i="127"/>
  <c r="Q33" i="127"/>
  <c r="O33" i="127"/>
  <c r="P33" i="127"/>
  <c r="K33" i="127"/>
  <c r="P51" i="122"/>
  <c r="Q51" i="122"/>
  <c r="O51" i="122"/>
  <c r="K51" i="122"/>
  <c r="P59" i="122"/>
  <c r="Q59" i="122"/>
  <c r="K59" i="122"/>
  <c r="O59" i="122"/>
  <c r="O55" i="122"/>
  <c r="Q55" i="122"/>
  <c r="P55" i="122"/>
  <c r="K55" i="122"/>
  <c r="K41" i="122"/>
  <c r="O41" i="122"/>
  <c r="Q41" i="122"/>
  <c r="P41" i="122"/>
  <c r="K47" i="122"/>
  <c r="Q47" i="122"/>
  <c r="O47" i="122"/>
  <c r="P47" i="122"/>
  <c r="L40" i="123"/>
  <c r="N40" i="123"/>
  <c r="M40" i="123"/>
  <c r="P30" i="125"/>
  <c r="K30" i="125"/>
  <c r="O30" i="125"/>
  <c r="Q30" i="125"/>
  <c r="M53" i="124"/>
  <c r="L53" i="124"/>
  <c r="N53" i="124"/>
  <c r="M43" i="126"/>
  <c r="N43" i="126"/>
  <c r="L43" i="126"/>
  <c r="P54" i="122"/>
  <c r="O54" i="122"/>
  <c r="Q54" i="122"/>
  <c r="K54" i="122"/>
  <c r="K46" i="122"/>
  <c r="P46" i="122"/>
  <c r="O46" i="122"/>
  <c r="Q46" i="122"/>
  <c r="L36" i="126"/>
  <c r="M36" i="126"/>
  <c r="N36" i="126"/>
  <c r="M39" i="124"/>
  <c r="N39" i="124"/>
  <c r="L39" i="124"/>
  <c r="O56" i="126"/>
  <c r="Q56" i="126"/>
  <c r="K56" i="126"/>
  <c r="P56" i="126"/>
  <c r="M47" i="126"/>
  <c r="N47" i="126"/>
  <c r="L47" i="126"/>
  <c r="O51" i="127"/>
  <c r="P51" i="127"/>
  <c r="Q51" i="127"/>
  <c r="K51" i="127"/>
  <c r="N49" i="127"/>
  <c r="M49" i="127"/>
  <c r="L49" i="127"/>
  <c r="L30" i="125"/>
  <c r="M30" i="125"/>
  <c r="N30" i="125"/>
  <c r="N35" i="125"/>
  <c r="M35" i="125"/>
  <c r="L35" i="125"/>
  <c r="P63" i="123"/>
  <c r="Q63" i="123"/>
  <c r="O63" i="123"/>
  <c r="K63" i="123"/>
  <c r="N37" i="126"/>
  <c r="M37" i="126"/>
  <c r="L37" i="126"/>
  <c r="K54" i="126"/>
  <c r="Q54" i="126"/>
  <c r="P54" i="126"/>
  <c r="O54" i="126"/>
  <c r="P60" i="125"/>
  <c r="K60" i="125"/>
  <c r="Q60" i="125"/>
  <c r="O60" i="125"/>
  <c r="N49" i="125"/>
  <c r="L49" i="125"/>
  <c r="M49" i="125"/>
  <c r="O62" i="125"/>
  <c r="Q62" i="125"/>
  <c r="P62" i="125"/>
  <c r="K62" i="125"/>
  <c r="N45" i="127"/>
  <c r="M45" i="127"/>
  <c r="L45" i="127"/>
  <c r="M64" i="127"/>
  <c r="L64" i="127"/>
  <c r="N64" i="127"/>
  <c r="Q64" i="127"/>
  <c r="O64" i="127"/>
  <c r="K64" i="127"/>
  <c r="P64" i="127"/>
  <c r="L51" i="123"/>
  <c r="M51" i="123"/>
  <c r="N51" i="123"/>
  <c r="P57" i="123"/>
  <c r="K57" i="123"/>
  <c r="Q57" i="123"/>
  <c r="O57" i="123"/>
  <c r="M30" i="127"/>
  <c r="N30" i="127"/>
  <c r="L30" i="127"/>
  <c r="K34" i="122"/>
  <c r="O34" i="122"/>
  <c r="P34" i="122"/>
  <c r="Q34" i="122"/>
  <c r="K37" i="124"/>
  <c r="P37" i="124"/>
  <c r="O37" i="124"/>
  <c r="Q37" i="124"/>
  <c r="P55" i="124"/>
  <c r="O55" i="124"/>
  <c r="Q55" i="124"/>
  <c r="K55" i="124"/>
  <c r="M66" i="124"/>
  <c r="N66" i="124"/>
  <c r="L66" i="124"/>
  <c r="N64" i="125"/>
  <c r="L64" i="125"/>
  <c r="M64" i="125"/>
  <c r="Q54" i="123"/>
  <c r="K54" i="123"/>
  <c r="O54" i="123"/>
  <c r="P54" i="123"/>
  <c r="L55" i="126"/>
  <c r="N55" i="126"/>
  <c r="M55" i="126"/>
  <c r="N34" i="123"/>
  <c r="L34" i="123"/>
  <c r="M34" i="123"/>
  <c r="M48" i="127"/>
  <c r="N48" i="127"/>
  <c r="L48" i="127"/>
  <c r="Q34" i="123"/>
  <c r="K34" i="123"/>
  <c r="P34" i="123"/>
  <c r="O34" i="123"/>
  <c r="K42" i="126"/>
  <c r="P42" i="126"/>
  <c r="O42" i="126"/>
  <c r="Q42" i="126"/>
  <c r="O31" i="124"/>
  <c r="K31" i="124"/>
  <c r="Q31" i="124"/>
  <c r="P31" i="124"/>
  <c r="N33" i="126"/>
  <c r="M33" i="126"/>
  <c r="L33" i="126"/>
  <c r="P48" i="125"/>
  <c r="K48" i="125"/>
  <c r="Q48" i="125"/>
  <c r="O48" i="125"/>
  <c r="M41" i="126"/>
  <c r="N41" i="126"/>
  <c r="L41" i="126"/>
  <c r="L61" i="124"/>
  <c r="M61" i="124"/>
  <c r="N61" i="124"/>
  <c r="O57" i="122"/>
  <c r="K57" i="122"/>
  <c r="Q57" i="122"/>
  <c r="P57" i="122"/>
  <c r="Q63" i="122"/>
  <c r="K63" i="122"/>
  <c r="O63" i="122"/>
  <c r="P63" i="122"/>
  <c r="K33" i="122"/>
  <c r="Q33" i="122"/>
  <c r="O33" i="122"/>
  <c r="P33" i="122"/>
  <c r="N30" i="124"/>
  <c r="L30" i="124"/>
  <c r="M30" i="124"/>
  <c r="Q63" i="126"/>
  <c r="P63" i="126"/>
  <c r="O63" i="126"/>
  <c r="K63" i="126"/>
  <c r="Q32" i="126"/>
  <c r="K32" i="126"/>
  <c r="O32" i="126"/>
  <c r="P32" i="126"/>
  <c r="O49" i="126"/>
  <c r="P49" i="126"/>
  <c r="K49" i="126"/>
  <c r="Q49" i="126"/>
  <c r="O66" i="124"/>
  <c r="Q66" i="124"/>
  <c r="K66" i="124"/>
  <c r="P66" i="124"/>
  <c r="L34" i="127"/>
  <c r="M34" i="127"/>
  <c r="N34" i="127"/>
  <c r="P33" i="126"/>
  <c r="Q33" i="126"/>
  <c r="K33" i="126"/>
  <c r="O33" i="126"/>
  <c r="K52" i="125"/>
  <c r="Q52" i="125"/>
  <c r="P52" i="125"/>
  <c r="O52" i="125"/>
  <c r="O50" i="125"/>
  <c r="Q50" i="125"/>
  <c r="P50" i="125"/>
  <c r="K50" i="125"/>
  <c r="P41" i="127"/>
  <c r="O41" i="127"/>
  <c r="Q41" i="127"/>
  <c r="K41" i="127"/>
  <c r="Q33" i="123"/>
  <c r="P33" i="123"/>
  <c r="O33" i="123"/>
  <c r="K33" i="123"/>
  <c r="L54" i="126"/>
  <c r="M54" i="126"/>
  <c r="N54" i="126"/>
  <c r="L66" i="127"/>
  <c r="M66" i="127"/>
  <c r="N66" i="127"/>
  <c r="L54" i="125"/>
  <c r="N54" i="125"/>
  <c r="M54" i="125"/>
  <c r="Q32" i="127"/>
  <c r="O32" i="127"/>
  <c r="P32" i="127"/>
  <c r="K32" i="127"/>
  <c r="P38" i="125"/>
  <c r="O38" i="125"/>
  <c r="K38" i="125"/>
  <c r="Q38" i="125"/>
  <c r="K52" i="126"/>
  <c r="O52" i="126"/>
  <c r="Q52" i="126"/>
  <c r="P52" i="126"/>
  <c r="Q35" i="125"/>
  <c r="P35" i="125"/>
  <c r="O35" i="125"/>
  <c r="K35" i="125"/>
  <c r="M60" i="126"/>
  <c r="N60" i="126"/>
  <c r="L60" i="126"/>
  <c r="O36" i="124"/>
  <c r="Q36" i="124"/>
  <c r="P36" i="124"/>
  <c r="K36" i="124"/>
  <c r="O39" i="122"/>
  <c r="K39" i="122"/>
  <c r="Q39" i="122"/>
  <c r="P39" i="122"/>
  <c r="P62" i="122"/>
  <c r="O62" i="122"/>
  <c r="K62" i="122"/>
  <c r="Q62" i="122"/>
  <c r="Q64" i="122"/>
  <c r="K64" i="122"/>
  <c r="P64" i="122"/>
  <c r="O64" i="122"/>
  <c r="P60" i="123"/>
  <c r="O60" i="123"/>
  <c r="Q60" i="123"/>
  <c r="K60" i="123"/>
  <c r="M44" i="124"/>
  <c r="L44" i="124"/>
  <c r="N44" i="124"/>
  <c r="K53" i="122"/>
  <c r="Q53" i="122"/>
  <c r="P53" i="122"/>
  <c r="O53" i="122"/>
  <c r="Q45" i="122"/>
  <c r="P45" i="122"/>
  <c r="K45" i="122"/>
  <c r="O45" i="122"/>
  <c r="L47" i="123"/>
  <c r="M47" i="123"/>
  <c r="N47" i="123"/>
  <c r="N33" i="127"/>
  <c r="M33" i="127"/>
  <c r="L33" i="127"/>
  <c r="P29" i="124"/>
  <c r="O29" i="124"/>
  <c r="Q29" i="124"/>
  <c r="K29" i="124"/>
  <c r="N36" i="127"/>
  <c r="L36" i="127"/>
  <c r="M36" i="127"/>
  <c r="Q35" i="123"/>
  <c r="P35" i="123"/>
  <c r="K35" i="123"/>
  <c r="O35" i="123"/>
  <c r="K63" i="125"/>
  <c r="Q63" i="125"/>
  <c r="P63" i="125"/>
  <c r="O63" i="125"/>
  <c r="Q43" i="127"/>
  <c r="P43" i="127"/>
  <c r="K43" i="127"/>
  <c r="O43" i="127"/>
  <c r="L63" i="127"/>
  <c r="N63" i="127"/>
  <c r="M63" i="127"/>
  <c r="O58" i="127"/>
  <c r="Q58" i="127"/>
  <c r="K58" i="127"/>
  <c r="P58" i="127"/>
  <c r="L58" i="125"/>
  <c r="N58" i="125"/>
  <c r="M58" i="125"/>
  <c r="Q66" i="126"/>
  <c r="O66" i="126"/>
  <c r="K66" i="126"/>
  <c r="P66" i="126"/>
  <c r="O50" i="123"/>
  <c r="K50" i="123"/>
  <c r="P50" i="123"/>
  <c r="Q50" i="123"/>
  <c r="M44" i="126"/>
  <c r="L44" i="126"/>
  <c r="N44" i="126"/>
  <c r="K63" i="124"/>
  <c r="P63" i="124"/>
  <c r="Q63" i="124"/>
  <c r="O63" i="124"/>
  <c r="K30" i="124"/>
  <c r="Q30" i="124"/>
  <c r="O30" i="124"/>
  <c r="P30" i="124"/>
  <c r="M53" i="126"/>
  <c r="N53" i="126"/>
  <c r="L53" i="126"/>
  <c r="L29" i="123"/>
  <c r="N29" i="123"/>
  <c r="M29" i="123"/>
  <c r="M46" i="123"/>
  <c r="L46" i="123"/>
  <c r="N46" i="123"/>
  <c r="O36" i="126"/>
  <c r="Q36" i="126"/>
  <c r="K36" i="126"/>
  <c r="P36" i="126"/>
  <c r="L31" i="126"/>
  <c r="N31" i="126"/>
  <c r="M31" i="126"/>
  <c r="O59" i="125"/>
  <c r="Q59" i="125"/>
  <c r="K59" i="125"/>
  <c r="P59" i="125"/>
  <c r="M59" i="124"/>
  <c r="N59" i="124"/>
  <c r="L59" i="124"/>
  <c r="Q50" i="126"/>
  <c r="P50" i="126"/>
  <c r="K50" i="126"/>
  <c r="O50" i="126"/>
  <c r="K32" i="124"/>
  <c r="Q32" i="124"/>
  <c r="P32" i="124"/>
  <c r="O32" i="124"/>
  <c r="M46" i="127"/>
  <c r="L46" i="127"/>
  <c r="N46" i="127"/>
  <c r="P48" i="124"/>
  <c r="Q48" i="124"/>
  <c r="O48" i="124"/>
  <c r="K48" i="124"/>
  <c r="M50" i="127"/>
  <c r="N50" i="127"/>
  <c r="L50" i="127"/>
  <c r="O40" i="126"/>
  <c r="Q40" i="126"/>
  <c r="P40" i="126"/>
  <c r="K40" i="126"/>
  <c r="K58" i="125"/>
  <c r="Q58" i="125"/>
  <c r="O58" i="125"/>
  <c r="P58" i="125"/>
  <c r="M38" i="127"/>
  <c r="N38" i="127"/>
  <c r="L38" i="127"/>
  <c r="N49" i="124"/>
  <c r="L49" i="124"/>
  <c r="M49" i="124"/>
  <c r="N35" i="124"/>
  <c r="M35" i="124"/>
  <c r="L35" i="124"/>
  <c r="N55" i="125"/>
  <c r="M55" i="125"/>
  <c r="L55" i="125"/>
  <c r="N31" i="124"/>
  <c r="M31" i="124"/>
  <c r="L31" i="124"/>
  <c r="Q65" i="124"/>
  <c r="O65" i="124"/>
  <c r="P65" i="124"/>
  <c r="K65" i="124"/>
  <c r="L54" i="123"/>
  <c r="N54" i="123"/>
  <c r="M54" i="123"/>
  <c r="M41" i="127"/>
  <c r="L41" i="127"/>
  <c r="N41" i="127"/>
  <c r="O65" i="125"/>
  <c r="K65" i="125"/>
  <c r="Q65" i="125"/>
  <c r="P65" i="125"/>
  <c r="O42" i="124"/>
  <c r="Q42" i="124"/>
  <c r="K42" i="124"/>
  <c r="P42" i="124"/>
  <c r="Q38" i="124"/>
  <c r="P38" i="124"/>
  <c r="O38" i="124"/>
  <c r="K38" i="124"/>
  <c r="O59" i="126"/>
  <c r="P59" i="126"/>
  <c r="Q59" i="126"/>
  <c r="K59" i="126"/>
  <c r="P59" i="123"/>
  <c r="K59" i="123"/>
  <c r="O59" i="123"/>
  <c r="Q59" i="123"/>
  <c r="L40" i="125"/>
  <c r="M40" i="125"/>
  <c r="N40" i="125"/>
  <c r="M35" i="126"/>
  <c r="N35" i="126"/>
  <c r="L35" i="126"/>
  <c r="O54" i="125"/>
  <c r="Q54" i="125"/>
  <c r="K54" i="125"/>
  <c r="P54" i="125"/>
  <c r="N63" i="126"/>
  <c r="M63" i="126"/>
  <c r="L63" i="126"/>
  <c r="K41" i="126"/>
  <c r="P41" i="126"/>
  <c r="Q41" i="126"/>
  <c r="O41" i="126"/>
  <c r="P35" i="126"/>
  <c r="Q35" i="126"/>
  <c r="K35" i="126"/>
  <c r="O35" i="126"/>
  <c r="N50" i="126"/>
  <c r="L50" i="126"/>
  <c r="M50" i="126"/>
  <c r="M42" i="126"/>
  <c r="N42" i="126"/>
  <c r="L42" i="126"/>
  <c r="L52" i="125"/>
  <c r="M52" i="125"/>
  <c r="N52" i="125"/>
  <c r="Q49" i="125"/>
  <c r="O49" i="125"/>
  <c r="K49" i="125"/>
  <c r="P49" i="125"/>
  <c r="Q43" i="123"/>
  <c r="P43" i="123"/>
  <c r="K43" i="123"/>
  <c r="O43" i="123"/>
  <c r="Q40" i="123"/>
  <c r="O40" i="123"/>
  <c r="K40" i="123"/>
  <c r="P40" i="123"/>
  <c r="N38" i="126"/>
  <c r="L38" i="126"/>
  <c r="M38" i="126"/>
  <c r="P43" i="124"/>
  <c r="O43" i="124"/>
  <c r="Q43" i="124"/>
  <c r="K43" i="124"/>
  <c r="N58" i="127"/>
  <c r="L58" i="127"/>
  <c r="M58" i="127"/>
  <c r="L37" i="123"/>
  <c r="M37" i="123"/>
  <c r="N37" i="123"/>
  <c r="O48" i="123"/>
  <c r="P48" i="123"/>
  <c r="K48" i="123"/>
  <c r="Q48" i="123"/>
  <c r="P55" i="127"/>
  <c r="K55" i="127"/>
  <c r="O55" i="127"/>
  <c r="Q55" i="127"/>
  <c r="K53" i="126"/>
  <c r="Q53" i="126"/>
  <c r="O53" i="126"/>
  <c r="P53" i="126"/>
  <c r="M56" i="127"/>
  <c r="N56" i="127"/>
  <c r="L56" i="127"/>
  <c r="Q40" i="125"/>
  <c r="O40" i="125"/>
  <c r="P40" i="125"/>
  <c r="K40" i="125"/>
  <c r="P45" i="124"/>
  <c r="O45" i="124"/>
  <c r="K45" i="124"/>
  <c r="Q45" i="124"/>
  <c r="Q31" i="126"/>
  <c r="O31" i="126"/>
  <c r="K31" i="126"/>
  <c r="P31" i="126"/>
  <c r="N59" i="127"/>
  <c r="M59" i="127"/>
  <c r="L59" i="127"/>
  <c r="N65" i="123"/>
  <c r="M65" i="123"/>
  <c r="L65" i="123"/>
  <c r="L49" i="123"/>
  <c r="N49" i="123"/>
  <c r="M49" i="123"/>
  <c r="O37" i="125"/>
  <c r="Q37" i="125"/>
  <c r="P37" i="125"/>
  <c r="K37" i="125"/>
  <c r="L58" i="126"/>
  <c r="N58" i="126"/>
  <c r="M58" i="126"/>
  <c r="Q40" i="124"/>
  <c r="K40" i="124"/>
  <c r="O40" i="124"/>
  <c r="P40" i="124"/>
  <c r="N57" i="124"/>
  <c r="L57" i="124"/>
  <c r="M57" i="124"/>
  <c r="M29" i="124"/>
  <c r="N29" i="124"/>
  <c r="L29" i="124"/>
  <c r="M58" i="124"/>
  <c r="N58" i="124"/>
  <c r="L58" i="124"/>
  <c r="K61" i="124"/>
  <c r="P61" i="124"/>
  <c r="Q61" i="124"/>
  <c r="O61" i="124"/>
  <c r="BN88" i="131"/>
  <c r="L88" i="131"/>
  <c r="AD88" i="131"/>
  <c r="AB88" i="131"/>
  <c r="AL88" i="131"/>
  <c r="BM88" i="131"/>
  <c r="M88" i="131"/>
  <c r="P88" i="131"/>
  <c r="G88" i="131"/>
  <c r="T88" i="131"/>
  <c r="U88" i="131"/>
  <c r="AM88" i="131"/>
  <c r="Q88" i="131"/>
  <c r="BL88" i="131"/>
  <c r="BC88" i="131"/>
  <c r="AT88" i="131"/>
  <c r="S88" i="131"/>
  <c r="E88" i="131"/>
  <c r="I88" i="131"/>
  <c r="AK88" i="131"/>
  <c r="C88" i="131"/>
  <c r="O88" i="131"/>
  <c r="B88" i="131"/>
  <c r="F88" i="131"/>
  <c r="H88" i="131"/>
  <c r="AV88" i="131"/>
  <c r="BD88" i="131"/>
  <c r="N88" i="131"/>
  <c r="BE88" i="131"/>
  <c r="AU88" i="131"/>
  <c r="AC88" i="131"/>
  <c r="J88" i="131"/>
  <c r="AX6" i="47"/>
  <c r="AW9" i="47"/>
  <c r="AX5" i="47"/>
  <c r="AM123" i="131"/>
  <c r="P123" i="131"/>
  <c r="L123" i="131"/>
  <c r="BE123" i="131"/>
  <c r="G123" i="131"/>
  <c r="AL123" i="131"/>
  <c r="BN123" i="131"/>
  <c r="AB123" i="131"/>
  <c r="AT123" i="131"/>
  <c r="E123" i="131"/>
  <c r="Q123" i="131"/>
  <c r="M123" i="131"/>
  <c r="BM123" i="131"/>
  <c r="AU123" i="131"/>
  <c r="T123" i="131"/>
  <c r="I123" i="131"/>
  <c r="C123" i="131"/>
  <c r="H123" i="131"/>
  <c r="U123" i="131"/>
  <c r="S123" i="131"/>
  <c r="B123" i="131"/>
  <c r="AK123" i="131"/>
  <c r="N123" i="131"/>
  <c r="O123" i="131"/>
  <c r="BL123" i="131"/>
  <c r="AC123" i="131"/>
  <c r="AV123" i="131"/>
  <c r="BC123" i="131"/>
  <c r="BD123" i="131"/>
  <c r="AD123" i="131"/>
  <c r="J123" i="131"/>
  <c r="F123" i="131"/>
  <c r="BE47" i="131"/>
  <c r="BN47" i="131"/>
  <c r="B47" i="131"/>
  <c r="BD47" i="131"/>
  <c r="C47" i="131"/>
  <c r="BM47" i="131"/>
  <c r="BL47" i="131"/>
  <c r="BC47" i="131"/>
  <c r="J100" i="131"/>
  <c r="P100" i="131"/>
  <c r="AK100" i="131"/>
  <c r="O100" i="131"/>
  <c r="AB100" i="131"/>
  <c r="BN100" i="131"/>
  <c r="E100" i="131"/>
  <c r="BL100" i="131"/>
  <c r="F100" i="131"/>
  <c r="C100" i="131"/>
  <c r="AV100" i="131"/>
  <c r="S100" i="131"/>
  <c r="M100" i="131"/>
  <c r="AT100" i="131"/>
  <c r="BE100" i="131"/>
  <c r="BC100" i="131"/>
  <c r="U100" i="131"/>
  <c r="H100" i="131"/>
  <c r="T100" i="131"/>
  <c r="N100" i="131"/>
  <c r="AC100" i="131"/>
  <c r="AM100" i="131"/>
  <c r="B100" i="131"/>
  <c r="BM100" i="131"/>
  <c r="AL100" i="131"/>
  <c r="Q100" i="131"/>
  <c r="AD100" i="131"/>
  <c r="I100" i="131"/>
  <c r="G100" i="131"/>
  <c r="BD100" i="131"/>
  <c r="AU100" i="131"/>
  <c r="L100" i="131"/>
  <c r="AK62" i="131"/>
  <c r="BD62" i="131"/>
  <c r="U62" i="131"/>
  <c r="AC62" i="131"/>
  <c r="M62" i="131"/>
  <c r="AM62" i="131"/>
  <c r="AD62" i="131"/>
  <c r="T62" i="131"/>
  <c r="AU62" i="131"/>
  <c r="Q62" i="131"/>
  <c r="E62" i="131"/>
  <c r="B62" i="131"/>
  <c r="AV62" i="131"/>
  <c r="I62" i="131"/>
  <c r="AT62" i="131"/>
  <c r="G62" i="131"/>
  <c r="H62" i="131"/>
  <c r="S62" i="131"/>
  <c r="N62" i="131"/>
  <c r="P62" i="131"/>
  <c r="BC62" i="131"/>
  <c r="C62" i="131"/>
  <c r="L62" i="131"/>
  <c r="J62" i="131"/>
  <c r="AL62" i="131"/>
  <c r="BM62" i="131"/>
  <c r="F62" i="131"/>
  <c r="AB62" i="131"/>
  <c r="BN62" i="131"/>
  <c r="BL62" i="131"/>
  <c r="BE62" i="131"/>
  <c r="O62" i="131"/>
  <c r="AC109" i="131"/>
  <c r="BL109" i="131"/>
  <c r="BM109" i="131"/>
  <c r="BE109" i="131"/>
  <c r="P109" i="131"/>
  <c r="B109" i="131"/>
  <c r="F109" i="131"/>
  <c r="AV109" i="131"/>
  <c r="T109" i="131"/>
  <c r="BC109" i="131"/>
  <c r="G109" i="131"/>
  <c r="AD109" i="131"/>
  <c r="I109" i="131"/>
  <c r="AM109" i="131"/>
  <c r="U109" i="131"/>
  <c r="O109" i="131"/>
  <c r="J109" i="131"/>
  <c r="Q109" i="131"/>
  <c r="H109" i="131"/>
  <c r="E109" i="131"/>
  <c r="L109" i="131"/>
  <c r="S109" i="131"/>
  <c r="C109" i="131"/>
  <c r="AT109" i="131"/>
  <c r="N109" i="131"/>
  <c r="AL109" i="131"/>
  <c r="M109" i="131"/>
  <c r="AU109" i="131"/>
  <c r="BN109" i="131"/>
  <c r="AB109" i="131"/>
  <c r="AK109" i="131"/>
  <c r="BD109" i="131"/>
  <c r="T76" i="131"/>
  <c r="AC76" i="131"/>
  <c r="AD76" i="131"/>
  <c r="AM76" i="131"/>
  <c r="AT76" i="131"/>
  <c r="BC76" i="131"/>
  <c r="M76" i="131"/>
  <c r="AK76" i="131"/>
  <c r="AB76" i="131"/>
  <c r="C76" i="131"/>
  <c r="B76" i="131"/>
  <c r="F76" i="131"/>
  <c r="BN76" i="131"/>
  <c r="BD76" i="131"/>
  <c r="AV76" i="131"/>
  <c r="BM76" i="131"/>
  <c r="AL76" i="131"/>
  <c r="U76" i="131"/>
  <c r="E76" i="131"/>
  <c r="AU76" i="131"/>
  <c r="G76" i="131"/>
  <c r="N76" i="131"/>
  <c r="O76" i="131"/>
  <c r="L76" i="131"/>
  <c r="S76" i="131"/>
  <c r="P76" i="131"/>
  <c r="BL76" i="131"/>
  <c r="J76" i="131"/>
  <c r="I76" i="131"/>
  <c r="H76" i="131"/>
  <c r="BE76" i="131"/>
  <c r="Q76" i="131"/>
  <c r="BL4" i="131"/>
  <c r="BN4" i="131"/>
  <c r="BD4" i="131"/>
  <c r="C4" i="131"/>
  <c r="BC4" i="131"/>
  <c r="BE4" i="131"/>
  <c r="BM4" i="131"/>
  <c r="B4" i="131"/>
  <c r="A469" i="61"/>
  <c r="AJ87" i="47"/>
  <c r="AK87" i="47"/>
  <c r="AI87" i="47"/>
  <c r="AJ68" i="47"/>
  <c r="AK68" i="47"/>
  <c r="A505" i="61"/>
  <c r="AI68" i="47"/>
  <c r="AJ73" i="47"/>
  <c r="A293" i="61"/>
  <c r="AK73" i="47"/>
  <c r="AI73" i="47"/>
  <c r="AK63" i="47"/>
  <c r="AI63" i="47"/>
  <c r="A477" i="61"/>
  <c r="AJ63" i="47"/>
  <c r="AJ119" i="47"/>
  <c r="AK119" i="47"/>
  <c r="A217" i="61"/>
  <c r="AI119" i="47"/>
  <c r="AI95" i="47"/>
  <c r="AK95" i="47"/>
  <c r="AJ95" i="47"/>
  <c r="A237" i="61"/>
  <c r="AJ117" i="47"/>
  <c r="AI117" i="47"/>
  <c r="AK117" i="47"/>
  <c r="A317" i="61"/>
  <c r="AK69" i="47"/>
  <c r="AJ69" i="47"/>
  <c r="AI69" i="47"/>
  <c r="A321" i="61"/>
  <c r="AI102" i="47"/>
  <c r="AJ102" i="47"/>
  <c r="AK102" i="47"/>
  <c r="A229" i="61"/>
  <c r="A353" i="61"/>
  <c r="AI78" i="47"/>
  <c r="AK78" i="47"/>
  <c r="AJ78" i="47"/>
  <c r="AK138" i="47"/>
  <c r="AI138" i="47"/>
  <c r="AJ138" i="47"/>
  <c r="A297" i="61"/>
  <c r="AK137" i="47"/>
  <c r="AJ137" i="47"/>
  <c r="AI137" i="47"/>
  <c r="AK108" i="47"/>
  <c r="AJ108" i="47"/>
  <c r="A349" i="61"/>
  <c r="AI108" i="47"/>
  <c r="AI115" i="47"/>
  <c r="AK115" i="47"/>
  <c r="AJ115" i="47"/>
  <c r="A273" i="61"/>
  <c r="A221" i="61"/>
  <c r="AI85" i="47"/>
  <c r="AK85" i="47"/>
  <c r="AJ85" i="47"/>
  <c r="A233" i="61"/>
  <c r="AK90" i="47"/>
  <c r="AJ90" i="47"/>
  <c r="AI90" i="47"/>
  <c r="AK66" i="47"/>
  <c r="AI66" i="47"/>
  <c r="AJ66" i="47"/>
  <c r="A381" i="61"/>
  <c r="AJ113" i="47"/>
  <c r="A497" i="61"/>
  <c r="AK113" i="47"/>
  <c r="AI113" i="47"/>
  <c r="AI99" i="47"/>
  <c r="AJ99" i="47"/>
  <c r="AK99" i="47"/>
  <c r="A433" i="61"/>
  <c r="AK132" i="47"/>
  <c r="AJ132" i="47"/>
  <c r="AI132" i="47"/>
  <c r="A329" i="61"/>
  <c r="A513" i="61"/>
  <c r="AK123" i="47"/>
  <c r="AI123" i="47"/>
  <c r="AJ123" i="47"/>
  <c r="AJ81" i="47"/>
  <c r="AK81" i="47"/>
  <c r="A449" i="61"/>
  <c r="AI81" i="47"/>
  <c r="AJ121" i="47"/>
  <c r="AK121" i="47"/>
  <c r="AI121" i="47"/>
  <c r="A265" i="61"/>
  <c r="AI122" i="47"/>
  <c r="AK122" i="47"/>
  <c r="AJ122" i="47"/>
  <c r="A385" i="61"/>
  <c r="AJ91" i="47"/>
  <c r="AK91" i="47"/>
  <c r="AI91" i="47"/>
  <c r="A501" i="61"/>
  <c r="BN3" i="131"/>
  <c r="BL3" i="131"/>
  <c r="BM3" i="131"/>
  <c r="BC3" i="131"/>
  <c r="BE3" i="131"/>
  <c r="BD3" i="131"/>
  <c r="C3" i="131"/>
  <c r="B3" i="131"/>
  <c r="AJ67" i="47"/>
  <c r="AK67" i="47"/>
  <c r="A445" i="61"/>
  <c r="AI67" i="47"/>
  <c r="A337" i="61"/>
  <c r="AK105" i="47"/>
  <c r="AI105" i="47"/>
  <c r="AJ105" i="47"/>
  <c r="AK112" i="47"/>
  <c r="A365" i="61"/>
  <c r="AI112" i="47"/>
  <c r="AJ112" i="47"/>
  <c r="AI98" i="47"/>
  <c r="AK98" i="47"/>
  <c r="A489" i="61"/>
  <c r="AJ98" i="47"/>
  <c r="AK97" i="47"/>
  <c r="AJ97" i="47"/>
  <c r="A493" i="61"/>
  <c r="AI97" i="47"/>
  <c r="AJ127" i="47"/>
  <c r="A281" i="61"/>
  <c r="AI127" i="47"/>
  <c r="AK127" i="47"/>
  <c r="AJ120" i="47"/>
  <c r="A285" i="61"/>
  <c r="AK120" i="47"/>
  <c r="AI120" i="47"/>
  <c r="AJ118" i="47"/>
  <c r="AI118" i="47"/>
  <c r="AK118" i="47"/>
  <c r="A289" i="61"/>
  <c r="AK131" i="47"/>
  <c r="AJ131" i="47"/>
  <c r="A269" i="61"/>
  <c r="AI131" i="47"/>
  <c r="AI80" i="47"/>
  <c r="A213" i="61"/>
  <c r="AK80" i="47"/>
  <c r="AJ80" i="47"/>
  <c r="BM39" i="131"/>
  <c r="C39" i="131"/>
  <c r="BE39" i="131"/>
  <c r="BN39" i="131"/>
  <c r="BC39" i="131"/>
  <c r="BL39" i="131"/>
  <c r="BD39" i="131"/>
  <c r="B39" i="131"/>
  <c r="AD122" i="131"/>
  <c r="AT122" i="131"/>
  <c r="L122" i="131"/>
  <c r="BE122" i="131"/>
  <c r="S122" i="131"/>
  <c r="U122" i="131"/>
  <c r="F122" i="131"/>
  <c r="AL122" i="131"/>
  <c r="Q122" i="131"/>
  <c r="C122" i="131"/>
  <c r="AU122" i="131"/>
  <c r="BN122" i="131"/>
  <c r="H122" i="131"/>
  <c r="G122" i="131"/>
  <c r="I122" i="131"/>
  <c r="N122" i="131"/>
  <c r="M122" i="131"/>
  <c r="AB122" i="131"/>
  <c r="BL122" i="131"/>
  <c r="BC122" i="131"/>
  <c r="B122" i="131"/>
  <c r="AV122" i="131"/>
  <c r="BM122" i="131"/>
  <c r="O122" i="131"/>
  <c r="P122" i="131"/>
  <c r="J122" i="131"/>
  <c r="T122" i="131"/>
  <c r="E122" i="131"/>
  <c r="AM122" i="131"/>
  <c r="AK122" i="131"/>
  <c r="AC122" i="131"/>
  <c r="BD122" i="131"/>
  <c r="AB114" i="131"/>
  <c r="C114" i="131"/>
  <c r="Q114" i="131"/>
  <c r="P114" i="131"/>
  <c r="AT114" i="131"/>
  <c r="E114" i="131"/>
  <c r="O114" i="131"/>
  <c r="M114" i="131"/>
  <c r="G114" i="131"/>
  <c r="H114" i="131"/>
  <c r="AM114" i="131"/>
  <c r="AU114" i="131"/>
  <c r="BM114" i="131"/>
  <c r="BL114" i="131"/>
  <c r="BN114" i="131"/>
  <c r="F114" i="131"/>
  <c r="J114" i="131"/>
  <c r="S114" i="131"/>
  <c r="I114" i="131"/>
  <c r="AK114" i="131"/>
  <c r="L114" i="131"/>
  <c r="BC114" i="131"/>
  <c r="AC114" i="131"/>
  <c r="AL114" i="131"/>
  <c r="T114" i="131"/>
  <c r="N114" i="131"/>
  <c r="AV114" i="131"/>
  <c r="U114" i="131"/>
  <c r="BE114" i="131"/>
  <c r="BD114" i="131"/>
  <c r="B114" i="131"/>
  <c r="AD114" i="131"/>
  <c r="AV112" i="131"/>
  <c r="E112" i="131"/>
  <c r="AK112" i="131"/>
  <c r="B112" i="131"/>
  <c r="BC112" i="131"/>
  <c r="N112" i="131"/>
  <c r="M112" i="131"/>
  <c r="J112" i="131"/>
  <c r="G112" i="131"/>
  <c r="AL112" i="131"/>
  <c r="AT112" i="131"/>
  <c r="Q112" i="131"/>
  <c r="L112" i="131"/>
  <c r="BD112" i="131"/>
  <c r="I112" i="131"/>
  <c r="H112" i="131"/>
  <c r="AC112" i="131"/>
  <c r="P112" i="131"/>
  <c r="BE112" i="131"/>
  <c r="C112" i="131"/>
  <c r="O112" i="131"/>
  <c r="AB112" i="131"/>
  <c r="BN112" i="131"/>
  <c r="F112" i="131"/>
  <c r="U112" i="131"/>
  <c r="AU112" i="131"/>
  <c r="AM112" i="131"/>
  <c r="BL112" i="131"/>
  <c r="T112" i="131"/>
  <c r="AD112" i="131"/>
  <c r="S112" i="131"/>
  <c r="BM112" i="131"/>
  <c r="BC35" i="131"/>
  <c r="B35" i="131"/>
  <c r="BD35" i="131"/>
  <c r="BL35" i="131"/>
  <c r="C35" i="131"/>
  <c r="BN35" i="131"/>
  <c r="BM35" i="131"/>
  <c r="BE35" i="131"/>
  <c r="N81" i="131"/>
  <c r="I81" i="131"/>
  <c r="F81" i="131"/>
  <c r="BL81" i="131"/>
  <c r="AC81" i="131"/>
  <c r="AM81" i="131"/>
  <c r="BC81" i="131"/>
  <c r="BE81" i="131"/>
  <c r="AT81" i="131"/>
  <c r="AK81" i="131"/>
  <c r="H81" i="131"/>
  <c r="AD81" i="131"/>
  <c r="S81" i="131"/>
  <c r="AB81" i="131"/>
  <c r="C81" i="131"/>
  <c r="L81" i="131"/>
  <c r="O81" i="131"/>
  <c r="B81" i="131"/>
  <c r="P81" i="131"/>
  <c r="BM81" i="131"/>
  <c r="AU81" i="131"/>
  <c r="BD81" i="131"/>
  <c r="M81" i="131"/>
  <c r="BN81" i="131"/>
  <c r="Q81" i="131"/>
  <c r="E81" i="131"/>
  <c r="T81" i="131"/>
  <c r="AL81" i="131"/>
  <c r="AV81" i="131"/>
  <c r="U81" i="131"/>
  <c r="J81" i="131"/>
  <c r="G81" i="131"/>
  <c r="AM89" i="131"/>
  <c r="N89" i="131"/>
  <c r="C89" i="131"/>
  <c r="BE89" i="131"/>
  <c r="L89" i="131"/>
  <c r="G89" i="131"/>
  <c r="F89" i="131"/>
  <c r="BN89" i="131"/>
  <c r="P89" i="131"/>
  <c r="E89" i="131"/>
  <c r="BC89" i="131"/>
  <c r="BM89" i="131"/>
  <c r="O89" i="131"/>
  <c r="I89" i="131"/>
  <c r="H89" i="131"/>
  <c r="BL89" i="131"/>
  <c r="AD89" i="131"/>
  <c r="AK89" i="131"/>
  <c r="AU89" i="131"/>
  <c r="AL89" i="131"/>
  <c r="AV89" i="131"/>
  <c r="J89" i="131"/>
  <c r="S89" i="131"/>
  <c r="M89" i="131"/>
  <c r="B89" i="131"/>
  <c r="AB89" i="131"/>
  <c r="T89" i="131"/>
  <c r="Q89" i="131"/>
  <c r="BD89" i="131"/>
  <c r="AT89" i="131"/>
  <c r="U89" i="131"/>
  <c r="AC89" i="131"/>
  <c r="AK127" i="131"/>
  <c r="U127" i="131"/>
  <c r="O127" i="131"/>
  <c r="E127" i="131"/>
  <c r="AU127" i="131"/>
  <c r="BN127" i="131"/>
  <c r="AB127" i="131"/>
  <c r="N127" i="131"/>
  <c r="I127" i="131"/>
  <c r="BL127" i="131"/>
  <c r="AM127" i="131"/>
  <c r="J127" i="131"/>
  <c r="C127" i="131"/>
  <c r="AT127" i="131"/>
  <c r="AL127" i="131"/>
  <c r="AV127" i="131"/>
  <c r="AD127" i="131"/>
  <c r="BM127" i="131"/>
  <c r="B127" i="131"/>
  <c r="H127" i="131"/>
  <c r="Q127" i="131"/>
  <c r="G127" i="131"/>
  <c r="T127" i="131"/>
  <c r="BD127" i="131"/>
  <c r="M127" i="131"/>
  <c r="P127" i="131"/>
  <c r="BC127" i="131"/>
  <c r="S127" i="131"/>
  <c r="BE127" i="131"/>
  <c r="AC127" i="131"/>
  <c r="F127" i="131"/>
  <c r="L127" i="131"/>
  <c r="B51" i="131"/>
  <c r="BN51" i="131"/>
  <c r="C51" i="131"/>
  <c r="BM51" i="131"/>
  <c r="BD51" i="131"/>
  <c r="BE51" i="131"/>
  <c r="BL51" i="131"/>
  <c r="BC51" i="131"/>
  <c r="BD31" i="131"/>
  <c r="BN31" i="131"/>
  <c r="C31" i="131"/>
  <c r="BL31" i="131"/>
  <c r="BC31" i="131"/>
  <c r="B31" i="131"/>
  <c r="BE31" i="131"/>
  <c r="BM31" i="131"/>
  <c r="BL24" i="131"/>
  <c r="BC24" i="131"/>
  <c r="BM24" i="131"/>
  <c r="BN24" i="131"/>
  <c r="B24" i="131"/>
  <c r="C24" i="131"/>
  <c r="BD24" i="131"/>
  <c r="BE24" i="131"/>
  <c r="M101" i="131"/>
  <c r="P101" i="131"/>
  <c r="AB101" i="131"/>
  <c r="B101" i="131"/>
  <c r="T101" i="131"/>
  <c r="L101" i="131"/>
  <c r="N101" i="131"/>
  <c r="BM101" i="131"/>
  <c r="F101" i="131"/>
  <c r="O101" i="131"/>
  <c r="G101" i="131"/>
  <c r="AV101" i="131"/>
  <c r="AD101" i="131"/>
  <c r="AK101" i="131"/>
  <c r="BE101" i="131"/>
  <c r="AC101" i="131"/>
  <c r="J101" i="131"/>
  <c r="AT101" i="131"/>
  <c r="AU101" i="131"/>
  <c r="E101" i="131"/>
  <c r="BL101" i="131"/>
  <c r="BN101" i="131"/>
  <c r="BC101" i="131"/>
  <c r="U101" i="131"/>
  <c r="AM101" i="131"/>
  <c r="C101" i="131"/>
  <c r="AL101" i="131"/>
  <c r="Q101" i="131"/>
  <c r="H101" i="131"/>
  <c r="BD101" i="131"/>
  <c r="I101" i="131"/>
  <c r="S101" i="131"/>
  <c r="AD65" i="131"/>
  <c r="T65" i="131"/>
  <c r="BL65" i="131"/>
  <c r="BD65" i="131"/>
  <c r="AM65" i="131"/>
  <c r="I65" i="131"/>
  <c r="AT65" i="131"/>
  <c r="AK65" i="131"/>
  <c r="O65" i="131"/>
  <c r="S65" i="131"/>
  <c r="C65" i="131"/>
  <c r="Q65" i="131"/>
  <c r="J65" i="131"/>
  <c r="M65" i="131"/>
  <c r="AV65" i="131"/>
  <c r="L65" i="131"/>
  <c r="BN65" i="131"/>
  <c r="BM65" i="131"/>
  <c r="H65" i="131"/>
  <c r="F65" i="131"/>
  <c r="AB65" i="131"/>
  <c r="BC65" i="131"/>
  <c r="N65" i="131"/>
  <c r="AU65" i="131"/>
  <c r="G65" i="131"/>
  <c r="AL65" i="131"/>
  <c r="P65" i="131"/>
  <c r="E65" i="131"/>
  <c r="AC65" i="131"/>
  <c r="BE65" i="131"/>
  <c r="U65" i="131"/>
  <c r="B65" i="131"/>
  <c r="U60" i="131"/>
  <c r="I60" i="131"/>
  <c r="H60" i="131"/>
  <c r="M60" i="131"/>
  <c r="BE60" i="131"/>
  <c r="AV60" i="131"/>
  <c r="BD60" i="131"/>
  <c r="AK60" i="131"/>
  <c r="S60" i="131"/>
  <c r="P60" i="131"/>
  <c r="T60" i="131"/>
  <c r="G60" i="131"/>
  <c r="O60" i="131"/>
  <c r="BC60" i="131"/>
  <c r="AT60" i="131"/>
  <c r="N60" i="131"/>
  <c r="B60" i="131"/>
  <c r="F60" i="131"/>
  <c r="AD60" i="131"/>
  <c r="BM60" i="131"/>
  <c r="Q60" i="131"/>
  <c r="AL60" i="131"/>
  <c r="AC60" i="131"/>
  <c r="AB60" i="131"/>
  <c r="BL60" i="131"/>
  <c r="AU60" i="131"/>
  <c r="J60" i="131"/>
  <c r="L60" i="131"/>
  <c r="C60" i="131"/>
  <c r="AM60" i="131"/>
  <c r="BN60" i="131"/>
  <c r="E60" i="131"/>
  <c r="BE10" i="131"/>
  <c r="BD10" i="131"/>
  <c r="BN10" i="131"/>
  <c r="C10" i="131"/>
  <c r="BC10" i="131"/>
  <c r="B10" i="131"/>
  <c r="BL10" i="131"/>
  <c r="BM10" i="131"/>
  <c r="O120" i="131"/>
  <c r="T120" i="131"/>
  <c r="S120" i="131"/>
  <c r="AT120" i="131"/>
  <c r="AK120" i="131"/>
  <c r="AD120" i="131"/>
  <c r="H120" i="131"/>
  <c r="BL120" i="131"/>
  <c r="AB120" i="131"/>
  <c r="BE120" i="131"/>
  <c r="AC120" i="131"/>
  <c r="G120" i="131"/>
  <c r="J120" i="131"/>
  <c r="BM120" i="131"/>
  <c r="AL120" i="131"/>
  <c r="U120" i="131"/>
  <c r="E120" i="131"/>
  <c r="P120" i="131"/>
  <c r="I120" i="131"/>
  <c r="AV120" i="131"/>
  <c r="C120" i="131"/>
  <c r="BN120" i="131"/>
  <c r="M120" i="131"/>
  <c r="BC120" i="131"/>
  <c r="BD120" i="131"/>
  <c r="F120" i="131"/>
  <c r="Q120" i="131"/>
  <c r="AU120" i="131"/>
  <c r="B120" i="131"/>
  <c r="L120" i="131"/>
  <c r="AM120" i="131"/>
  <c r="N120" i="131"/>
  <c r="M108" i="131"/>
  <c r="S108" i="131"/>
  <c r="BD108" i="131"/>
  <c r="AD108" i="131"/>
  <c r="AU108" i="131"/>
  <c r="O108" i="131"/>
  <c r="AC108" i="131"/>
  <c r="AT108" i="131"/>
  <c r="G108" i="131"/>
  <c r="BM108" i="131"/>
  <c r="N108" i="131"/>
  <c r="AV108" i="131"/>
  <c r="J108" i="131"/>
  <c r="F108" i="131"/>
  <c r="BL108" i="131"/>
  <c r="L108" i="131"/>
  <c r="BC108" i="131"/>
  <c r="I108" i="131"/>
  <c r="AL108" i="131"/>
  <c r="AM108" i="131"/>
  <c r="E108" i="131"/>
  <c r="H108" i="131"/>
  <c r="C108" i="131"/>
  <c r="BE108" i="131"/>
  <c r="P108" i="131"/>
  <c r="B108" i="131"/>
  <c r="U108" i="131"/>
  <c r="Q108" i="131"/>
  <c r="AB108" i="131"/>
  <c r="BN108" i="131"/>
  <c r="AK108" i="131"/>
  <c r="T108" i="131"/>
  <c r="J71" i="131"/>
  <c r="P71" i="131"/>
  <c r="AM71" i="131"/>
  <c r="BC71" i="131"/>
  <c r="BN71" i="131"/>
  <c r="AT71" i="131"/>
  <c r="T71" i="131"/>
  <c r="AL71" i="131"/>
  <c r="AB71" i="131"/>
  <c r="B71" i="131"/>
  <c r="I71" i="131"/>
  <c r="U71" i="131"/>
  <c r="L71" i="131"/>
  <c r="AC71" i="131"/>
  <c r="BE71" i="131"/>
  <c r="AK71" i="131"/>
  <c r="BM71" i="131"/>
  <c r="H71" i="131"/>
  <c r="BL71" i="131"/>
  <c r="O71" i="131"/>
  <c r="F71" i="131"/>
  <c r="Q71" i="131"/>
  <c r="AU71" i="131"/>
  <c r="E71" i="131"/>
  <c r="AD71" i="131"/>
  <c r="S71" i="131"/>
  <c r="BD71" i="131"/>
  <c r="N71" i="131"/>
  <c r="G71" i="131"/>
  <c r="C71" i="131"/>
  <c r="M71" i="131"/>
  <c r="AV71" i="131"/>
  <c r="B53" i="131"/>
  <c r="BE53" i="131"/>
  <c r="BN53" i="131"/>
  <c r="BM53" i="131"/>
  <c r="BL53" i="131"/>
  <c r="C53" i="131"/>
  <c r="BD53" i="131"/>
  <c r="BC53" i="131"/>
  <c r="BN16" i="131"/>
  <c r="C16" i="131"/>
  <c r="BE16" i="131"/>
  <c r="BL16" i="131"/>
  <c r="B16" i="131"/>
  <c r="BC16" i="131"/>
  <c r="BD16" i="131"/>
  <c r="BM16" i="131"/>
  <c r="O99" i="131"/>
  <c r="AM99" i="131"/>
  <c r="AU99" i="131"/>
  <c r="AV99" i="131"/>
  <c r="L99" i="131"/>
  <c r="N99" i="131"/>
  <c r="BC99" i="131"/>
  <c r="F99" i="131"/>
  <c r="M99" i="131"/>
  <c r="P99" i="131"/>
  <c r="AB99" i="131"/>
  <c r="BL99" i="131"/>
  <c r="BN99" i="131"/>
  <c r="C99" i="131"/>
  <c r="T99" i="131"/>
  <c r="S99" i="131"/>
  <c r="U99" i="131"/>
  <c r="BD99" i="131"/>
  <c r="H99" i="131"/>
  <c r="AD99" i="131"/>
  <c r="AK99" i="131"/>
  <c r="BM99" i="131"/>
  <c r="G99" i="131"/>
  <c r="AL99" i="131"/>
  <c r="E99" i="131"/>
  <c r="B99" i="131"/>
  <c r="AT99" i="131"/>
  <c r="I99" i="131"/>
  <c r="AC99" i="131"/>
  <c r="BE99" i="131"/>
  <c r="J99" i="131"/>
  <c r="Q99" i="131"/>
  <c r="J104" i="131"/>
  <c r="AT104" i="131"/>
  <c r="AU104" i="131"/>
  <c r="BE104" i="131"/>
  <c r="AC104" i="131"/>
  <c r="AV104" i="131"/>
  <c r="P104" i="131"/>
  <c r="BM104" i="131"/>
  <c r="Q104" i="131"/>
  <c r="L104" i="131"/>
  <c r="N104" i="131"/>
  <c r="AL104" i="131"/>
  <c r="BL104" i="131"/>
  <c r="AK104" i="131"/>
  <c r="U104" i="131"/>
  <c r="BD104" i="131"/>
  <c r="AM104" i="131"/>
  <c r="O104" i="131"/>
  <c r="BC104" i="131"/>
  <c r="T104" i="131"/>
  <c r="AD104" i="131"/>
  <c r="H104" i="131"/>
  <c r="E104" i="131"/>
  <c r="C104" i="131"/>
  <c r="G104" i="131"/>
  <c r="BN104" i="131"/>
  <c r="B104" i="131"/>
  <c r="AB104" i="131"/>
  <c r="S104" i="131"/>
  <c r="I104" i="131"/>
  <c r="M104" i="131"/>
  <c r="F104" i="131"/>
  <c r="BL43" i="131"/>
  <c r="BD43" i="131"/>
  <c r="B43" i="131"/>
  <c r="BM43" i="131"/>
  <c r="BE43" i="131"/>
  <c r="BN43" i="131"/>
  <c r="C43" i="131"/>
  <c r="BC43" i="131"/>
  <c r="F86" i="131"/>
  <c r="BC86" i="131"/>
  <c r="AU86" i="131"/>
  <c r="U86" i="131"/>
  <c r="BM86" i="131"/>
  <c r="M86" i="131"/>
  <c r="O86" i="131"/>
  <c r="N86" i="131"/>
  <c r="AT86" i="131"/>
  <c r="E86" i="131"/>
  <c r="P86" i="131"/>
  <c r="G86" i="131"/>
  <c r="AD86" i="131"/>
  <c r="BN86" i="131"/>
  <c r="AB86" i="131"/>
  <c r="T86" i="131"/>
  <c r="AV86" i="131"/>
  <c r="AM86" i="131"/>
  <c r="BL86" i="131"/>
  <c r="J86" i="131"/>
  <c r="BD86" i="131"/>
  <c r="Q86" i="131"/>
  <c r="AC86" i="131"/>
  <c r="BE86" i="131"/>
  <c r="B86" i="131"/>
  <c r="L86" i="131"/>
  <c r="H86" i="131"/>
  <c r="AL86" i="131"/>
  <c r="I86" i="131"/>
  <c r="C86" i="131"/>
  <c r="S86" i="131"/>
  <c r="AK86" i="131"/>
  <c r="B28" i="131"/>
  <c r="BE28" i="131"/>
  <c r="BN28" i="131"/>
  <c r="BC28" i="131"/>
  <c r="BM28" i="131"/>
  <c r="BD28" i="131"/>
  <c r="C28" i="131"/>
  <c r="BL28" i="131"/>
  <c r="BL29" i="131"/>
  <c r="BN29" i="131"/>
  <c r="C29" i="131"/>
  <c r="B29" i="131"/>
  <c r="BM29" i="131"/>
  <c r="BE29" i="131"/>
  <c r="BD29" i="131"/>
  <c r="BC29" i="131"/>
  <c r="BL45" i="131"/>
  <c r="BM45" i="131"/>
  <c r="BN45" i="131"/>
  <c r="BC45" i="131"/>
  <c r="C45" i="131"/>
  <c r="BE45" i="131"/>
  <c r="B45" i="131"/>
  <c r="BD45" i="131"/>
  <c r="AV116" i="131"/>
  <c r="BL116" i="131"/>
  <c r="BC116" i="131"/>
  <c r="G116" i="131"/>
  <c r="AL116" i="131"/>
  <c r="AK116" i="131"/>
  <c r="O116" i="131"/>
  <c r="N116" i="131"/>
  <c r="BN116" i="131"/>
  <c r="AD116" i="131"/>
  <c r="F116" i="131"/>
  <c r="I116" i="131"/>
  <c r="AC116" i="131"/>
  <c r="S116" i="131"/>
  <c r="B116" i="131"/>
  <c r="H116" i="131"/>
  <c r="L116" i="131"/>
  <c r="AT116" i="131"/>
  <c r="AM116" i="131"/>
  <c r="BE116" i="131"/>
  <c r="E116" i="131"/>
  <c r="AB116" i="131"/>
  <c r="U116" i="131"/>
  <c r="P116" i="131"/>
  <c r="T116" i="131"/>
  <c r="M116" i="131"/>
  <c r="BD116" i="131"/>
  <c r="C116" i="131"/>
  <c r="J116" i="131"/>
  <c r="Q116" i="131"/>
  <c r="BM116" i="131"/>
  <c r="AU116" i="131"/>
  <c r="AL113" i="131"/>
  <c r="E113" i="131"/>
  <c r="G113" i="131"/>
  <c r="BM113" i="131"/>
  <c r="AK113" i="131"/>
  <c r="BN113" i="131"/>
  <c r="H113" i="131"/>
  <c r="S113" i="131"/>
  <c r="BL113" i="131"/>
  <c r="M113" i="131"/>
  <c r="C113" i="131"/>
  <c r="L113" i="131"/>
  <c r="U113" i="131"/>
  <c r="AM113" i="131"/>
  <c r="P113" i="131"/>
  <c r="BC113" i="131"/>
  <c r="AB113" i="131"/>
  <c r="AV113" i="131"/>
  <c r="F113" i="131"/>
  <c r="AT113" i="131"/>
  <c r="BD113" i="131"/>
  <c r="AC113" i="131"/>
  <c r="BE113" i="131"/>
  <c r="T113" i="131"/>
  <c r="B113" i="131"/>
  <c r="AD113" i="131"/>
  <c r="I113" i="131"/>
  <c r="N113" i="131"/>
  <c r="J113" i="131"/>
  <c r="Q113" i="131"/>
  <c r="AU113" i="131"/>
  <c r="O113" i="131"/>
  <c r="BD11" i="131"/>
  <c r="BM11" i="131"/>
  <c r="BC11" i="131"/>
  <c r="BE11" i="131"/>
  <c r="C11" i="131"/>
  <c r="BN11" i="131"/>
  <c r="BL11" i="131"/>
  <c r="B11" i="131"/>
  <c r="B49" i="131"/>
  <c r="BC49" i="131"/>
  <c r="BL49" i="131"/>
  <c r="BN49" i="131"/>
  <c r="BE49" i="131"/>
  <c r="BD49" i="131"/>
  <c r="BM49" i="131"/>
  <c r="C49" i="131"/>
  <c r="B79" i="131"/>
  <c r="T79" i="131"/>
  <c r="J79" i="131"/>
  <c r="L79" i="131"/>
  <c r="AC79" i="131"/>
  <c r="F79" i="131"/>
  <c r="G79" i="131"/>
  <c r="AM79" i="131"/>
  <c r="AU79" i="131"/>
  <c r="AV79" i="131"/>
  <c r="O79" i="131"/>
  <c r="AD79" i="131"/>
  <c r="P79" i="131"/>
  <c r="S79" i="131"/>
  <c r="AK79" i="131"/>
  <c r="I79" i="131"/>
  <c r="M79" i="131"/>
  <c r="AL79" i="131"/>
  <c r="E79" i="131"/>
  <c r="U79" i="131"/>
  <c r="AT79" i="131"/>
  <c r="H79" i="131"/>
  <c r="BN79" i="131"/>
  <c r="Q79" i="131"/>
  <c r="BE79" i="131"/>
  <c r="BD79" i="131"/>
  <c r="N79" i="131"/>
  <c r="C79" i="131"/>
  <c r="BC79" i="131"/>
  <c r="BL79" i="131"/>
  <c r="AB79" i="131"/>
  <c r="BM79" i="131"/>
  <c r="BL73" i="131"/>
  <c r="BM73" i="131"/>
  <c r="F73" i="131"/>
  <c r="AM73" i="131"/>
  <c r="H73" i="131"/>
  <c r="Q73" i="131"/>
  <c r="I73" i="131"/>
  <c r="U73" i="131"/>
  <c r="T73" i="131"/>
  <c r="E73" i="131"/>
  <c r="G73" i="131"/>
  <c r="C73" i="131"/>
  <c r="S73" i="131"/>
  <c r="AB73" i="131"/>
  <c r="AL73" i="131"/>
  <c r="J73" i="131"/>
  <c r="BD73" i="131"/>
  <c r="B73" i="131"/>
  <c r="AU73" i="131"/>
  <c r="BN73" i="131"/>
  <c r="N73" i="131"/>
  <c r="BC73" i="131"/>
  <c r="O73" i="131"/>
  <c r="AC73" i="131"/>
  <c r="AT73" i="131"/>
  <c r="AK73" i="131"/>
  <c r="P73" i="131"/>
  <c r="AV73" i="131"/>
  <c r="M73" i="131"/>
  <c r="L73" i="131"/>
  <c r="BE73" i="131"/>
  <c r="AD73" i="131"/>
  <c r="B48" i="131"/>
  <c r="BN48" i="131"/>
  <c r="BE48" i="131"/>
  <c r="C48" i="131"/>
  <c r="BD48" i="131"/>
  <c r="BM48" i="131"/>
  <c r="BC48" i="131"/>
  <c r="BL48" i="131"/>
  <c r="T68" i="131"/>
  <c r="AM68" i="131"/>
  <c r="U68" i="131"/>
  <c r="L68" i="131"/>
  <c r="AV68" i="131"/>
  <c r="AD68" i="131"/>
  <c r="E68" i="131"/>
  <c r="AL68" i="131"/>
  <c r="I68" i="131"/>
  <c r="B68" i="131"/>
  <c r="AC68" i="131"/>
  <c r="BM68" i="131"/>
  <c r="H68" i="131"/>
  <c r="AU68" i="131"/>
  <c r="P68" i="131"/>
  <c r="J68" i="131"/>
  <c r="O68" i="131"/>
  <c r="BD68" i="131"/>
  <c r="C68" i="131"/>
  <c r="BE68" i="131"/>
  <c r="BL68" i="131"/>
  <c r="AB68" i="131"/>
  <c r="AK68" i="131"/>
  <c r="BC68" i="131"/>
  <c r="M68" i="131"/>
  <c r="BN68" i="131"/>
  <c r="AT68" i="131"/>
  <c r="N68" i="131"/>
  <c r="S68" i="131"/>
  <c r="F68" i="131"/>
  <c r="Q68" i="131"/>
  <c r="G68" i="131"/>
  <c r="AT77" i="131"/>
  <c r="AL77" i="131"/>
  <c r="BN77" i="131"/>
  <c r="AB77" i="131"/>
  <c r="BL77" i="131"/>
  <c r="L77" i="131"/>
  <c r="AV77" i="131"/>
  <c r="BD77" i="131"/>
  <c r="O77" i="131"/>
  <c r="AD77" i="131"/>
  <c r="AK77" i="131"/>
  <c r="F77" i="131"/>
  <c r="Q77" i="131"/>
  <c r="T77" i="131"/>
  <c r="AM77" i="131"/>
  <c r="P77" i="131"/>
  <c r="H77" i="131"/>
  <c r="J77" i="131"/>
  <c r="B77" i="131"/>
  <c r="S77" i="131"/>
  <c r="C77" i="131"/>
  <c r="U77" i="131"/>
  <c r="E77" i="131"/>
  <c r="N77" i="131"/>
  <c r="G77" i="131"/>
  <c r="AC77" i="131"/>
  <c r="AU77" i="131"/>
  <c r="M77" i="131"/>
  <c r="I77" i="131"/>
  <c r="BM77" i="131"/>
  <c r="BE77" i="131"/>
  <c r="BC77" i="131"/>
  <c r="AL126" i="131"/>
  <c r="AC126" i="131"/>
  <c r="T126" i="131"/>
  <c r="AM126" i="131"/>
  <c r="AD126" i="131"/>
  <c r="AB126" i="131"/>
  <c r="M126" i="131"/>
  <c r="C126" i="131"/>
  <c r="AT126" i="131"/>
  <c r="E126" i="131"/>
  <c r="Q126" i="131"/>
  <c r="BE126" i="131"/>
  <c r="BL126" i="131"/>
  <c r="F126" i="131"/>
  <c r="U126" i="131"/>
  <c r="P126" i="131"/>
  <c r="BM126" i="131"/>
  <c r="G126" i="131"/>
  <c r="L126" i="131"/>
  <c r="AU126" i="131"/>
  <c r="AK126" i="131"/>
  <c r="N126" i="131"/>
  <c r="BC126" i="131"/>
  <c r="O126" i="131"/>
  <c r="AV126" i="131"/>
  <c r="BN126" i="131"/>
  <c r="J126" i="131"/>
  <c r="I126" i="131"/>
  <c r="H126" i="131"/>
  <c r="BD126" i="131"/>
  <c r="S126" i="131"/>
  <c r="B126" i="131"/>
  <c r="AK84" i="131"/>
  <c r="F84" i="131"/>
  <c r="T84" i="131"/>
  <c r="P84" i="131"/>
  <c r="AC84" i="131"/>
  <c r="H84" i="131"/>
  <c r="BC84" i="131"/>
  <c r="BD84" i="131"/>
  <c r="BE84" i="131"/>
  <c r="C84" i="131"/>
  <c r="E84" i="131"/>
  <c r="AV84" i="131"/>
  <c r="S84" i="131"/>
  <c r="Q84" i="131"/>
  <c r="J84" i="131"/>
  <c r="AT84" i="131"/>
  <c r="M84" i="131"/>
  <c r="N84" i="131"/>
  <c r="AB84" i="131"/>
  <c r="L84" i="131"/>
  <c r="AM84" i="131"/>
  <c r="BL84" i="131"/>
  <c r="U84" i="131"/>
  <c r="O84" i="131"/>
  <c r="G84" i="131"/>
  <c r="B84" i="131"/>
  <c r="AL84" i="131"/>
  <c r="BN84" i="131"/>
  <c r="BM84" i="131"/>
  <c r="AU84" i="131"/>
  <c r="I84" i="131"/>
  <c r="AD84" i="131"/>
  <c r="BL17" i="131"/>
  <c r="BM17" i="131"/>
  <c r="BC17" i="131"/>
  <c r="BD17" i="131"/>
  <c r="BN17" i="131"/>
  <c r="B17" i="131"/>
  <c r="BE17" i="131"/>
  <c r="C17" i="131"/>
  <c r="AK90" i="131"/>
  <c r="S90" i="131"/>
  <c r="BC90" i="131"/>
  <c r="E90" i="131"/>
  <c r="F90" i="131"/>
  <c r="AM90" i="131"/>
  <c r="Q90" i="131"/>
  <c r="BN90" i="131"/>
  <c r="AC90" i="131"/>
  <c r="AT90" i="131"/>
  <c r="AB90" i="131"/>
  <c r="P90" i="131"/>
  <c r="N90" i="131"/>
  <c r="BE90" i="131"/>
  <c r="H90" i="131"/>
  <c r="L90" i="131"/>
  <c r="I90" i="131"/>
  <c r="B90" i="131"/>
  <c r="J90" i="131"/>
  <c r="AU90" i="131"/>
  <c r="AL90" i="131"/>
  <c r="AV90" i="131"/>
  <c r="T90" i="131"/>
  <c r="G90" i="131"/>
  <c r="BM90" i="131"/>
  <c r="C90" i="131"/>
  <c r="M90" i="131"/>
  <c r="O90" i="131"/>
  <c r="AD90" i="131"/>
  <c r="BD90" i="131"/>
  <c r="BL90" i="131"/>
  <c r="U90" i="131"/>
  <c r="BM27" i="131"/>
  <c r="BC27" i="131"/>
  <c r="B27" i="131"/>
  <c r="BD27" i="131"/>
  <c r="BE27" i="131"/>
  <c r="C27" i="131"/>
  <c r="BN27" i="131"/>
  <c r="BL27" i="131"/>
  <c r="N82" i="131"/>
  <c r="M82" i="131"/>
  <c r="AV82" i="131"/>
  <c r="J82" i="131"/>
  <c r="P82" i="131"/>
  <c r="U82" i="131"/>
  <c r="BM82" i="131"/>
  <c r="BE82" i="131"/>
  <c r="G82" i="131"/>
  <c r="AK82" i="131"/>
  <c r="AT82" i="131"/>
  <c r="L82" i="131"/>
  <c r="F82" i="131"/>
  <c r="AB82" i="131"/>
  <c r="BD82" i="131"/>
  <c r="S82" i="131"/>
  <c r="E82" i="131"/>
  <c r="AC82" i="131"/>
  <c r="B82" i="131"/>
  <c r="BN82" i="131"/>
  <c r="BL82" i="131"/>
  <c r="H82" i="131"/>
  <c r="AU82" i="131"/>
  <c r="T82" i="131"/>
  <c r="AM82" i="131"/>
  <c r="BC82" i="131"/>
  <c r="C82" i="131"/>
  <c r="O82" i="131"/>
  <c r="Q82" i="131"/>
  <c r="AD82" i="131"/>
  <c r="AL82" i="131"/>
  <c r="I82" i="131"/>
  <c r="AC91" i="131"/>
  <c r="M91" i="131"/>
  <c r="AM91" i="131"/>
  <c r="AV91" i="131"/>
  <c r="Q91" i="131"/>
  <c r="L91" i="131"/>
  <c r="AU91" i="131"/>
  <c r="G91" i="131"/>
  <c r="AK91" i="131"/>
  <c r="C91" i="131"/>
  <c r="T91" i="131"/>
  <c r="O91" i="131"/>
  <c r="P91" i="131"/>
  <c r="J91" i="131"/>
  <c r="I91" i="131"/>
  <c r="BD91" i="131"/>
  <c r="F91" i="131"/>
  <c r="B91" i="131"/>
  <c r="AL91" i="131"/>
  <c r="E91" i="131"/>
  <c r="N91" i="131"/>
  <c r="AD91" i="131"/>
  <c r="AB91" i="131"/>
  <c r="BC91" i="131"/>
  <c r="S91" i="131"/>
  <c r="BN91" i="131"/>
  <c r="U91" i="131"/>
  <c r="AT91" i="131"/>
  <c r="BE91" i="131"/>
  <c r="BL91" i="131"/>
  <c r="BM91" i="131"/>
  <c r="H91" i="131"/>
  <c r="AC121" i="131"/>
  <c r="L121" i="131"/>
  <c r="BE121" i="131"/>
  <c r="N121" i="131"/>
  <c r="J121" i="131"/>
  <c r="BL121" i="131"/>
  <c r="BD121" i="131"/>
  <c r="BN121" i="131"/>
  <c r="AM121" i="131"/>
  <c r="T121" i="131"/>
  <c r="AB121" i="131"/>
  <c r="BM121" i="131"/>
  <c r="AT121" i="131"/>
  <c r="S121" i="131"/>
  <c r="F121" i="131"/>
  <c r="O121" i="131"/>
  <c r="AL121" i="131"/>
  <c r="P121" i="131"/>
  <c r="AK121" i="131"/>
  <c r="G121" i="131"/>
  <c r="Q121" i="131"/>
  <c r="E121" i="131"/>
  <c r="M121" i="131"/>
  <c r="H121" i="131"/>
  <c r="AU121" i="131"/>
  <c r="C121" i="131"/>
  <c r="AD121" i="131"/>
  <c r="I121" i="131"/>
  <c r="AV121" i="131"/>
  <c r="U121" i="131"/>
  <c r="BC121" i="131"/>
  <c r="B121" i="131"/>
  <c r="B74" i="131"/>
  <c r="L74" i="131"/>
  <c r="AT74" i="131"/>
  <c r="E74" i="131"/>
  <c r="M74" i="131"/>
  <c r="Q74" i="131"/>
  <c r="S74" i="131"/>
  <c r="H74" i="131"/>
  <c r="AC74" i="131"/>
  <c r="BL74" i="131"/>
  <c r="P74" i="131"/>
  <c r="U74" i="131"/>
  <c r="C74" i="131"/>
  <c r="G74" i="131"/>
  <c r="BC74" i="131"/>
  <c r="BD74" i="131"/>
  <c r="AV74" i="131"/>
  <c r="AL74" i="131"/>
  <c r="BN74" i="131"/>
  <c r="I74" i="131"/>
  <c r="T74" i="131"/>
  <c r="AD74" i="131"/>
  <c r="BM74" i="131"/>
  <c r="AU74" i="131"/>
  <c r="O74" i="131"/>
  <c r="N74" i="131"/>
  <c r="AK74" i="131"/>
  <c r="F74" i="131"/>
  <c r="AM74" i="131"/>
  <c r="BE74" i="131"/>
  <c r="AB74" i="131"/>
  <c r="J74" i="131"/>
  <c r="D3" i="111"/>
  <c r="BL9" i="131"/>
  <c r="C9" i="131"/>
  <c r="BC9" i="131"/>
  <c r="BN9" i="131"/>
  <c r="B9" i="131"/>
  <c r="BM9" i="131"/>
  <c r="BE9" i="131"/>
  <c r="BD9" i="131"/>
  <c r="C5" i="126"/>
  <c r="D25" i="122"/>
  <c r="D4" i="124"/>
  <c r="C17" i="125"/>
  <c r="D10" i="127"/>
  <c r="C8" i="125"/>
  <c r="C14" i="124"/>
  <c r="C8" i="122"/>
  <c r="D24" i="122"/>
  <c r="C5" i="125"/>
  <c r="C26" i="124"/>
  <c r="C20" i="127"/>
  <c r="C6" i="122"/>
  <c r="C19" i="124"/>
  <c r="C10" i="127"/>
  <c r="D3" i="125"/>
  <c r="D24" i="126"/>
  <c r="C15" i="125"/>
  <c r="D5" i="125"/>
  <c r="D22" i="123"/>
  <c r="C27" i="127"/>
  <c r="D21" i="127"/>
  <c r="D6" i="126"/>
  <c r="D26" i="123"/>
  <c r="D26" i="122"/>
  <c r="D6" i="125"/>
  <c r="C13" i="126"/>
  <c r="C4" i="125"/>
  <c r="D20" i="126"/>
  <c r="C11" i="127"/>
  <c r="C3" i="125"/>
  <c r="C9" i="126"/>
  <c r="D26" i="124"/>
  <c r="D12" i="123"/>
  <c r="C4" i="123"/>
  <c r="C14" i="126"/>
  <c r="D14" i="124"/>
  <c r="D10" i="125"/>
  <c r="C20" i="126"/>
  <c r="C8" i="124"/>
  <c r="D20" i="122"/>
  <c r="D22" i="122"/>
  <c r="C17" i="123"/>
  <c r="D17" i="123"/>
  <c r="C12" i="125"/>
  <c r="D23" i="123"/>
  <c r="C13" i="123"/>
  <c r="C18" i="127"/>
  <c r="C16" i="126"/>
  <c r="C10" i="123"/>
  <c r="C26" i="126"/>
  <c r="C20" i="124"/>
  <c r="C21" i="125"/>
  <c r="C5" i="123"/>
  <c r="D4" i="123"/>
  <c r="D15" i="127"/>
  <c r="D8" i="125"/>
  <c r="C18" i="125"/>
  <c r="D3" i="126"/>
  <c r="D21" i="126"/>
  <c r="C24" i="127"/>
  <c r="C24" i="122"/>
  <c r="C7" i="122"/>
  <c r="C21" i="126"/>
  <c r="C24" i="125"/>
  <c r="C26" i="125"/>
  <c r="C12" i="123"/>
  <c r="D5" i="124"/>
  <c r="D4" i="127"/>
  <c r="D20" i="123"/>
  <c r="D6" i="127"/>
  <c r="D17" i="124"/>
  <c r="C22" i="126"/>
  <c r="D7" i="124"/>
  <c r="D24" i="125"/>
  <c r="C25" i="124"/>
  <c r="D8" i="123"/>
  <c r="D15" i="125"/>
  <c r="C16" i="123"/>
  <c r="C23" i="125"/>
  <c r="D26" i="126"/>
  <c r="C15" i="122"/>
  <c r="D9" i="122"/>
  <c r="C28" i="126"/>
  <c r="C12" i="122"/>
  <c r="C16" i="124"/>
  <c r="C7" i="124"/>
  <c r="D7" i="122"/>
  <c r="D6" i="122"/>
  <c r="C17" i="126"/>
  <c r="D7" i="127"/>
  <c r="D12" i="122"/>
  <c r="D27" i="125"/>
  <c r="D10" i="123"/>
  <c r="D16" i="124"/>
  <c r="D7" i="126"/>
  <c r="C9" i="124"/>
  <c r="D16" i="125"/>
  <c r="D18" i="124"/>
  <c r="C26" i="122"/>
  <c r="D8" i="126"/>
  <c r="D28" i="126"/>
  <c r="C23" i="124"/>
  <c r="D9" i="126"/>
  <c r="D15" i="124"/>
  <c r="D9" i="125"/>
  <c r="D8" i="124"/>
  <c r="D12" i="124"/>
  <c r="C3" i="127"/>
  <c r="D24" i="127"/>
  <c r="C26" i="127"/>
  <c r="D23" i="126"/>
  <c r="C3" i="123"/>
  <c r="D6" i="123"/>
  <c r="D22" i="126"/>
  <c r="D23" i="127"/>
  <c r="D24" i="123"/>
  <c r="D27" i="123"/>
  <c r="C6" i="125"/>
  <c r="D25" i="127"/>
  <c r="D16" i="126"/>
  <c r="D26" i="127"/>
  <c r="C5" i="127"/>
  <c r="C19" i="127"/>
  <c r="D19" i="124"/>
  <c r="D24" i="124"/>
  <c r="D14" i="122"/>
  <c r="D13" i="125"/>
  <c r="D11" i="124"/>
  <c r="C5" i="124"/>
  <c r="D13" i="126"/>
  <c r="C13" i="122"/>
  <c r="D10" i="122"/>
  <c r="D6" i="124"/>
  <c r="D7" i="125"/>
  <c r="C24" i="123"/>
  <c r="C23" i="122"/>
  <c r="C7" i="127"/>
  <c r="D10" i="126"/>
  <c r="D27" i="122"/>
  <c r="C14" i="127"/>
  <c r="C23" i="127"/>
  <c r="D11" i="125"/>
  <c r="D28" i="123"/>
  <c r="D16" i="127"/>
  <c r="D16" i="123"/>
  <c r="D3" i="122"/>
  <c r="C18" i="124"/>
  <c r="C21" i="124"/>
  <c r="D20" i="127"/>
  <c r="D21" i="124"/>
  <c r="D27" i="124"/>
  <c r="C11" i="126"/>
  <c r="D15" i="126"/>
  <c r="C25" i="122"/>
  <c r="D19" i="125"/>
  <c r="D21" i="125"/>
  <c r="C6" i="127"/>
  <c r="D14" i="126"/>
  <c r="C7" i="125"/>
  <c r="D18" i="125"/>
  <c r="D18" i="127"/>
  <c r="C17" i="124"/>
  <c r="C22" i="124"/>
  <c r="C15" i="127"/>
  <c r="D15" i="122"/>
  <c r="D14" i="127"/>
  <c r="D27" i="127"/>
  <c r="C20" i="125"/>
  <c r="C18" i="126"/>
  <c r="C21" i="123"/>
  <c r="C6" i="126"/>
  <c r="C23" i="126"/>
  <c r="D21" i="122"/>
  <c r="D13" i="127"/>
  <c r="C26" i="123"/>
  <c r="C22" i="123"/>
  <c r="D28" i="122"/>
  <c r="D19" i="122"/>
  <c r="C25" i="123"/>
  <c r="D13" i="122"/>
  <c r="D22" i="125"/>
  <c r="D28" i="127"/>
  <c r="C12" i="127"/>
  <c r="C4" i="122"/>
  <c r="C6" i="124"/>
  <c r="D22" i="124"/>
  <c r="D19" i="127"/>
  <c r="C17" i="127"/>
  <c r="C27" i="125"/>
  <c r="D11" i="126"/>
  <c r="D3" i="127"/>
  <c r="C7" i="123"/>
  <c r="D5" i="123"/>
  <c r="D25" i="124"/>
  <c r="D18" i="122"/>
  <c r="D23" i="122"/>
  <c r="C12" i="126"/>
  <c r="C15" i="126"/>
  <c r="C9" i="123"/>
  <c r="D14" i="125"/>
  <c r="C28" i="123"/>
  <c r="D23" i="125"/>
  <c r="D17" i="126"/>
  <c r="C14" i="122"/>
  <c r="D3" i="124"/>
  <c r="D13" i="123"/>
  <c r="D16" i="122"/>
  <c r="C27" i="123"/>
  <c r="C13" i="127"/>
  <c r="C5" i="122"/>
  <c r="D15" i="123"/>
  <c r="C25" i="127"/>
  <c r="C11" i="124"/>
  <c r="D4" i="125"/>
  <c r="C10" i="125"/>
  <c r="C19" i="122"/>
  <c r="C8" i="127"/>
  <c r="C10" i="124"/>
  <c r="D28" i="125"/>
  <c r="D8" i="127"/>
  <c r="C16" i="122"/>
  <c r="C8" i="123"/>
  <c r="C21" i="122"/>
  <c r="D9" i="123"/>
  <c r="C25" i="126"/>
  <c r="C16" i="127"/>
  <c r="C21" i="127"/>
  <c r="C10" i="126"/>
  <c r="C14" i="123"/>
  <c r="C18" i="123"/>
  <c r="C19" i="126"/>
  <c r="C28" i="127"/>
  <c r="C13" i="124"/>
  <c r="D3" i="123"/>
  <c r="C24" i="124"/>
  <c r="D17" i="125"/>
  <c r="C18" i="122"/>
  <c r="D7" i="123"/>
  <c r="D19" i="126"/>
  <c r="C17" i="122"/>
  <c r="C10" i="122"/>
  <c r="C19" i="125"/>
  <c r="C3" i="122"/>
  <c r="D10" i="124"/>
  <c r="D11" i="122"/>
  <c r="C24" i="126"/>
  <c r="C25" i="125"/>
  <c r="C4" i="127"/>
  <c r="D8" i="122"/>
  <c r="C9" i="122"/>
  <c r="D27" i="126"/>
  <c r="C27" i="122"/>
  <c r="C9" i="125"/>
  <c r="D20" i="124"/>
  <c r="C8" i="126"/>
  <c r="D18" i="126"/>
  <c r="D13" i="124"/>
  <c r="C6" i="123"/>
  <c r="C12" i="124"/>
  <c r="D11" i="123"/>
  <c r="C4" i="124"/>
  <c r="C28" i="125"/>
  <c r="C20" i="123"/>
  <c r="C4" i="126"/>
  <c r="D5" i="126"/>
  <c r="D25" i="126"/>
  <c r="D5" i="122"/>
  <c r="D25" i="125"/>
  <c r="C22" i="125"/>
  <c r="D17" i="122"/>
  <c r="D19" i="123"/>
  <c r="C16" i="125"/>
  <c r="D21" i="123"/>
  <c r="C11" i="122"/>
  <c r="D22" i="127"/>
  <c r="D9" i="124"/>
  <c r="C22" i="127"/>
  <c r="C15" i="124"/>
  <c r="C13" i="125"/>
  <c r="C28" i="124"/>
  <c r="D12" i="125"/>
  <c r="C3" i="124"/>
  <c r="D14" i="123"/>
  <c r="D28" i="124"/>
  <c r="D23" i="124"/>
  <c r="C7" i="126"/>
  <c r="C9" i="127"/>
  <c r="C20" i="122"/>
  <c r="D11" i="127"/>
  <c r="D4" i="122"/>
  <c r="C23" i="123"/>
  <c r="D17" i="127"/>
  <c r="C19" i="123"/>
  <c r="D26" i="125"/>
  <c r="D12" i="127"/>
  <c r="C27" i="126"/>
  <c r="C11" i="125"/>
  <c r="C15" i="123"/>
  <c r="D18" i="123"/>
  <c r="D12" i="126"/>
  <c r="C27" i="124"/>
  <c r="C3" i="126"/>
  <c r="D20" i="125"/>
  <c r="C11" i="123"/>
  <c r="D5" i="127"/>
  <c r="D4" i="126"/>
  <c r="C14" i="125"/>
  <c r="D9" i="127"/>
  <c r="D25" i="123"/>
  <c r="C22" i="122"/>
  <c r="E22" i="122" l="1"/>
  <c r="F25" i="123"/>
  <c r="P25" i="123" s="1"/>
  <c r="F9" i="127"/>
  <c r="P9" i="127" s="1"/>
  <c r="E14" i="125"/>
  <c r="N14" i="125" s="1"/>
  <c r="F4" i="126"/>
  <c r="O4" i="126" s="1"/>
  <c r="F5" i="127"/>
  <c r="P5" i="127" s="1"/>
  <c r="E11" i="123"/>
  <c r="L11" i="123" s="1"/>
  <c r="F20" i="125"/>
  <c r="K20" i="125" s="1"/>
  <c r="E3" i="126"/>
  <c r="N3" i="126" s="1"/>
  <c r="E27" i="124"/>
  <c r="M27" i="124" s="1"/>
  <c r="F12" i="126"/>
  <c r="Q12" i="126" s="1"/>
  <c r="F18" i="123"/>
  <c r="K18" i="123" s="1"/>
  <c r="E15" i="123"/>
  <c r="L15" i="123" s="1"/>
  <c r="E11" i="125"/>
  <c r="N11" i="125" s="1"/>
  <c r="E27" i="126"/>
  <c r="M27" i="126" s="1"/>
  <c r="F12" i="127"/>
  <c r="K12" i="127" s="1"/>
  <c r="F26" i="125"/>
  <c r="Q26" i="125" s="1"/>
  <c r="E19" i="123"/>
  <c r="F17" i="127"/>
  <c r="O17" i="127" s="1"/>
  <c r="E23" i="123"/>
  <c r="N23" i="123" s="1"/>
  <c r="F4" i="122"/>
  <c r="Q4" i="122" s="1"/>
  <c r="F11" i="127"/>
  <c r="Q11" i="127" s="1"/>
  <c r="E20" i="122"/>
  <c r="N20" i="122" s="1"/>
  <c r="E9" i="127"/>
  <c r="M9" i="127" s="1"/>
  <c r="E7" i="126"/>
  <c r="L7" i="126" s="1"/>
  <c r="F23" i="124"/>
  <c r="O23" i="124" s="1"/>
  <c r="F28" i="124"/>
  <c r="O28" i="124" s="1"/>
  <c r="F14" i="123"/>
  <c r="K14" i="123" s="1"/>
  <c r="E3" i="124"/>
  <c r="N3" i="124" s="1"/>
  <c r="F12" i="125"/>
  <c r="K12" i="125" s="1"/>
  <c r="E28" i="124"/>
  <c r="M28" i="124" s="1"/>
  <c r="E13" i="125"/>
  <c r="L13" i="125" s="1"/>
  <c r="E15" i="124"/>
  <c r="M15" i="124" s="1"/>
  <c r="E22" i="127"/>
  <c r="L22" i="127" s="1"/>
  <c r="F9" i="124"/>
  <c r="Q9" i="124" s="1"/>
  <c r="F22" i="127"/>
  <c r="Q22" i="127" s="1"/>
  <c r="E11" i="122"/>
  <c r="N11" i="122" s="1"/>
  <c r="F21" i="123"/>
  <c r="O21" i="123" s="1"/>
  <c r="E16" i="125"/>
  <c r="N16" i="125" s="1"/>
  <c r="F19" i="123"/>
  <c r="O19" i="123" s="1"/>
  <c r="F17" i="122"/>
  <c r="O17" i="122" s="1"/>
  <c r="E22" i="125"/>
  <c r="N22" i="125" s="1"/>
  <c r="F25" i="125"/>
  <c r="P25" i="125" s="1"/>
  <c r="F5" i="122"/>
  <c r="P5" i="122" s="1"/>
  <c r="F25" i="126"/>
  <c r="F5" i="126"/>
  <c r="P5" i="126" s="1"/>
  <c r="E4" i="126"/>
  <c r="M4" i="126" s="1"/>
  <c r="E20" i="123"/>
  <c r="N20" i="123" s="1"/>
  <c r="E28" i="125"/>
  <c r="N28" i="125" s="1"/>
  <c r="E4" i="124"/>
  <c r="L4" i="124" s="1"/>
  <c r="F11" i="123"/>
  <c r="Q11" i="123" s="1"/>
  <c r="E12" i="124"/>
  <c r="L12" i="124" s="1"/>
  <c r="E6" i="123"/>
  <c r="N6" i="123" s="1"/>
  <c r="F13" i="124"/>
  <c r="P13" i="124" s="1"/>
  <c r="F18" i="126"/>
  <c r="Q18" i="126" s="1"/>
  <c r="E8" i="126"/>
  <c r="F20" i="124"/>
  <c r="P20" i="124" s="1"/>
  <c r="E9" i="125"/>
  <c r="M9" i="125" s="1"/>
  <c r="E27" i="122"/>
  <c r="N27" i="122" s="1"/>
  <c r="F27" i="126"/>
  <c r="P27" i="126" s="1"/>
  <c r="E9" i="122"/>
  <c r="L9" i="122" s="1"/>
  <c r="F8" i="122"/>
  <c r="P8" i="122" s="1"/>
  <c r="E4" i="127"/>
  <c r="N4" i="127" s="1"/>
  <c r="E25" i="125"/>
  <c r="M25" i="125" s="1"/>
  <c r="E24" i="126"/>
  <c r="L24" i="126" s="1"/>
  <c r="F11" i="122"/>
  <c r="Q11" i="122" s="1"/>
  <c r="F10" i="124"/>
  <c r="K10" i="124" s="1"/>
  <c r="E3" i="122"/>
  <c r="E19" i="125"/>
  <c r="N19" i="125" s="1"/>
  <c r="E10" i="122"/>
  <c r="N10" i="122" s="1"/>
  <c r="E17" i="122"/>
  <c r="M17" i="122" s="1"/>
  <c r="F19" i="126"/>
  <c r="Q19" i="126" s="1"/>
  <c r="F7" i="123"/>
  <c r="P7" i="123" s="1"/>
  <c r="E18" i="122"/>
  <c r="F17" i="125"/>
  <c r="K17" i="125" s="1"/>
  <c r="E24" i="124"/>
  <c r="N24" i="124" s="1"/>
  <c r="F3" i="123"/>
  <c r="Q3" i="123" s="1"/>
  <c r="E13" i="124"/>
  <c r="N13" i="124" s="1"/>
  <c r="E28" i="127"/>
  <c r="M28" i="127" s="1"/>
  <c r="E19" i="126"/>
  <c r="E18" i="123"/>
  <c r="M18" i="123" s="1"/>
  <c r="E14" i="123"/>
  <c r="L14" i="123" s="1"/>
  <c r="E10" i="126"/>
  <c r="L10" i="126" s="1"/>
  <c r="E21" i="127"/>
  <c r="N21" i="127" s="1"/>
  <c r="E16" i="127"/>
  <c r="N16" i="127" s="1"/>
  <c r="E25" i="126"/>
  <c r="N25" i="126" s="1"/>
  <c r="F9" i="123"/>
  <c r="O9" i="123" s="1"/>
  <c r="E21" i="122"/>
  <c r="M21" i="122" s="1"/>
  <c r="E8" i="123"/>
  <c r="N8" i="123" s="1"/>
  <c r="E16" i="122"/>
  <c r="L16" i="122" s="1"/>
  <c r="F8" i="127"/>
  <c r="P8" i="127" s="1"/>
  <c r="F28" i="125"/>
  <c r="P28" i="125" s="1"/>
  <c r="E10" i="124"/>
  <c r="N10" i="124" s="1"/>
  <c r="E8" i="127"/>
  <c r="M8" i="127" s="1"/>
  <c r="E19" i="122"/>
  <c r="L19" i="122" s="1"/>
  <c r="E10" i="125"/>
  <c r="L10" i="125" s="1"/>
  <c r="F4" i="125"/>
  <c r="P4" i="125" s="1"/>
  <c r="E11" i="124"/>
  <c r="L11" i="124" s="1"/>
  <c r="E25" i="127"/>
  <c r="N25" i="127" s="1"/>
  <c r="F15" i="123"/>
  <c r="Q15" i="123" s="1"/>
  <c r="E5" i="122"/>
  <c r="L5" i="122" s="1"/>
  <c r="E13" i="127"/>
  <c r="L13" i="127" s="1"/>
  <c r="E27" i="123"/>
  <c r="L27" i="123" s="1"/>
  <c r="F16" i="122"/>
  <c r="P16" i="122" s="1"/>
  <c r="F13" i="123"/>
  <c r="K13" i="123" s="1"/>
  <c r="F3" i="124"/>
  <c r="P3" i="124" s="1"/>
  <c r="E14" i="122"/>
  <c r="L14" i="122" s="1"/>
  <c r="F17" i="126"/>
  <c r="P17" i="126" s="1"/>
  <c r="F23" i="125"/>
  <c r="O23" i="125" s="1"/>
  <c r="E28" i="123"/>
  <c r="N28" i="123" s="1"/>
  <c r="F14" i="125"/>
  <c r="O14" i="125" s="1"/>
  <c r="E9" i="123"/>
  <c r="L9" i="123" s="1"/>
  <c r="E15" i="126"/>
  <c r="M15" i="126" s="1"/>
  <c r="E12" i="126"/>
  <c r="L12" i="126" s="1"/>
  <c r="F23" i="122"/>
  <c r="K23" i="122" s="1"/>
  <c r="F18" i="122"/>
  <c r="P18" i="122" s="1"/>
  <c r="F25" i="124"/>
  <c r="Q25" i="124" s="1"/>
  <c r="F5" i="123"/>
  <c r="P5" i="123" s="1"/>
  <c r="E7" i="123"/>
  <c r="M7" i="123" s="1"/>
  <c r="F3" i="127"/>
  <c r="O3" i="127" s="1"/>
  <c r="F11" i="126"/>
  <c r="K11" i="126" s="1"/>
  <c r="E27" i="125"/>
  <c r="M27" i="125" s="1"/>
  <c r="E17" i="127"/>
  <c r="M17" i="127" s="1"/>
  <c r="F19" i="127"/>
  <c r="P19" i="127" s="1"/>
  <c r="F22" i="124"/>
  <c r="Q22" i="124" s="1"/>
  <c r="E6" i="124"/>
  <c r="M6" i="124" s="1"/>
  <c r="E4" i="122"/>
  <c r="L4" i="122" s="1"/>
  <c r="E12" i="127"/>
  <c r="L12" i="127" s="1"/>
  <c r="F28" i="127"/>
  <c r="K28" i="127" s="1"/>
  <c r="F22" i="125"/>
  <c r="P22" i="125" s="1"/>
  <c r="F13" i="122"/>
  <c r="P13" i="122" s="1"/>
  <c r="E25" i="123"/>
  <c r="N25" i="123" s="1"/>
  <c r="F19" i="122"/>
  <c r="O19" i="122" s="1"/>
  <c r="F28" i="122"/>
  <c r="E22" i="123"/>
  <c r="N22" i="123" s="1"/>
  <c r="E26" i="123"/>
  <c r="N26" i="123" s="1"/>
  <c r="F13" i="127"/>
  <c r="O13" i="127" s="1"/>
  <c r="F21" i="122"/>
  <c r="O21" i="122" s="1"/>
  <c r="E23" i="126"/>
  <c r="N23" i="126" s="1"/>
  <c r="E6" i="126"/>
  <c r="L6" i="126" s="1"/>
  <c r="E21" i="123"/>
  <c r="L21" i="123" s="1"/>
  <c r="E18" i="126"/>
  <c r="N18" i="126" s="1"/>
  <c r="E20" i="125"/>
  <c r="L20" i="125" s="1"/>
  <c r="F27" i="127"/>
  <c r="Q27" i="127" s="1"/>
  <c r="F14" i="127"/>
  <c r="P14" i="127" s="1"/>
  <c r="F15" i="122"/>
  <c r="O15" i="122" s="1"/>
  <c r="E15" i="127"/>
  <c r="L15" i="127" s="1"/>
  <c r="E22" i="124"/>
  <c r="M22" i="124" s="1"/>
  <c r="E17" i="124"/>
  <c r="L17" i="124" s="1"/>
  <c r="F18" i="127"/>
  <c r="F18" i="125"/>
  <c r="K18" i="125" s="1"/>
  <c r="E7" i="125"/>
  <c r="N7" i="125" s="1"/>
  <c r="F14" i="126"/>
  <c r="P14" i="126" s="1"/>
  <c r="E6" i="127"/>
  <c r="F21" i="125"/>
  <c r="Q21" i="125" s="1"/>
  <c r="F19" i="125"/>
  <c r="K19" i="125" s="1"/>
  <c r="E25" i="122"/>
  <c r="M25" i="122" s="1"/>
  <c r="F15" i="126"/>
  <c r="Q15" i="126" s="1"/>
  <c r="E11" i="126"/>
  <c r="F27" i="124"/>
  <c r="P27" i="124" s="1"/>
  <c r="F21" i="124"/>
  <c r="Q21" i="124" s="1"/>
  <c r="F20" i="127"/>
  <c r="Q20" i="127" s="1"/>
  <c r="E21" i="124"/>
  <c r="M21" i="124" s="1"/>
  <c r="E18" i="124"/>
  <c r="L18" i="124" s="1"/>
  <c r="F3" i="122"/>
  <c r="P3" i="122" s="1"/>
  <c r="F16" i="123"/>
  <c r="Q16" i="123" s="1"/>
  <c r="F16" i="127"/>
  <c r="P16" i="127" s="1"/>
  <c r="F28" i="123"/>
  <c r="K28" i="123" s="1"/>
  <c r="F11" i="125"/>
  <c r="K11" i="125" s="1"/>
  <c r="E23" i="127"/>
  <c r="L23" i="127" s="1"/>
  <c r="E14" i="127"/>
  <c r="M14" i="127" s="1"/>
  <c r="F27" i="122"/>
  <c r="K27" i="122" s="1"/>
  <c r="F10" i="126"/>
  <c r="O10" i="126" s="1"/>
  <c r="E7" i="127"/>
  <c r="L7" i="127" s="1"/>
  <c r="E23" i="122"/>
  <c r="M23" i="122" s="1"/>
  <c r="E24" i="123"/>
  <c r="N24" i="123" s="1"/>
  <c r="F7" i="125"/>
  <c r="O7" i="125" s="1"/>
  <c r="F6" i="124"/>
  <c r="O6" i="124" s="1"/>
  <c r="F10" i="122"/>
  <c r="P10" i="122" s="1"/>
  <c r="E13" i="122"/>
  <c r="L13" i="122" s="1"/>
  <c r="F13" i="126"/>
  <c r="O13" i="126" s="1"/>
  <c r="E5" i="124"/>
  <c r="L5" i="124" s="1"/>
  <c r="F11" i="124"/>
  <c r="O11" i="124" s="1"/>
  <c r="F13" i="125"/>
  <c r="K13" i="125" s="1"/>
  <c r="F14" i="122"/>
  <c r="O14" i="122" s="1"/>
  <c r="F24" i="124"/>
  <c r="P24" i="124" s="1"/>
  <c r="F19" i="124"/>
  <c r="O19" i="124" s="1"/>
  <c r="E19" i="127"/>
  <c r="L19" i="127" s="1"/>
  <c r="E5" i="127"/>
  <c r="L5" i="127" s="1"/>
  <c r="F26" i="127"/>
  <c r="K26" i="127" s="1"/>
  <c r="F16" i="126"/>
  <c r="K16" i="126" s="1"/>
  <c r="F25" i="127"/>
  <c r="O25" i="127" s="1"/>
  <c r="E6" i="125"/>
  <c r="M6" i="125" s="1"/>
  <c r="F27" i="123"/>
  <c r="K27" i="123" s="1"/>
  <c r="F24" i="123"/>
  <c r="O24" i="123" s="1"/>
  <c r="F23" i="127"/>
  <c r="K23" i="127" s="1"/>
  <c r="F22" i="126"/>
  <c r="O22" i="126" s="1"/>
  <c r="F6" i="123"/>
  <c r="E3" i="123"/>
  <c r="M3" i="123" s="1"/>
  <c r="F23" i="126"/>
  <c r="P23" i="126" s="1"/>
  <c r="E26" i="127"/>
  <c r="M26" i="127" s="1"/>
  <c r="F24" i="127"/>
  <c r="O24" i="127" s="1"/>
  <c r="E3" i="127"/>
  <c r="N3" i="127" s="1"/>
  <c r="F12" i="124"/>
  <c r="K12" i="124" s="1"/>
  <c r="F8" i="124"/>
  <c r="K8" i="124" s="1"/>
  <c r="F9" i="125"/>
  <c r="Q9" i="125" s="1"/>
  <c r="F15" i="124"/>
  <c r="O15" i="124" s="1"/>
  <c r="F9" i="126"/>
  <c r="E23" i="124"/>
  <c r="L23" i="124" s="1"/>
  <c r="F28" i="126"/>
  <c r="P28" i="126" s="1"/>
  <c r="F8" i="126"/>
  <c r="P8" i="126" s="1"/>
  <c r="E26" i="122"/>
  <c r="M26" i="122" s="1"/>
  <c r="F18" i="124"/>
  <c r="Q18" i="124" s="1"/>
  <c r="F16" i="125"/>
  <c r="Q16" i="125" s="1"/>
  <c r="E9" i="124"/>
  <c r="L9" i="124" s="1"/>
  <c r="F7" i="126"/>
  <c r="K7" i="126" s="1"/>
  <c r="F16" i="124"/>
  <c r="P16" i="124" s="1"/>
  <c r="F10" i="123"/>
  <c r="K10" i="123" s="1"/>
  <c r="F27" i="125"/>
  <c r="F12" i="122"/>
  <c r="F7" i="127"/>
  <c r="O7" i="127" s="1"/>
  <c r="E17" i="126"/>
  <c r="M17" i="126" s="1"/>
  <c r="F6" i="122"/>
  <c r="P6" i="122" s="1"/>
  <c r="F7" i="122"/>
  <c r="K7" i="122" s="1"/>
  <c r="E7" i="124"/>
  <c r="L7" i="124" s="1"/>
  <c r="E16" i="124"/>
  <c r="L16" i="124" s="1"/>
  <c r="E12" i="122"/>
  <c r="N12" i="122" s="1"/>
  <c r="E28" i="126"/>
  <c r="L28" i="126" s="1"/>
  <c r="F9" i="122"/>
  <c r="O9" i="122" s="1"/>
  <c r="E15" i="122"/>
  <c r="M15" i="122" s="1"/>
  <c r="F26" i="126"/>
  <c r="K26" i="126" s="1"/>
  <c r="E23" i="125"/>
  <c r="N23" i="125" s="1"/>
  <c r="E16" i="123"/>
  <c r="M16" i="123" s="1"/>
  <c r="F15" i="125"/>
  <c r="Q15" i="125" s="1"/>
  <c r="F8" i="123"/>
  <c r="K8" i="123" s="1"/>
  <c r="E25" i="124"/>
  <c r="F24" i="125"/>
  <c r="P24" i="125" s="1"/>
  <c r="F7" i="124"/>
  <c r="Q7" i="124" s="1"/>
  <c r="E22" i="126"/>
  <c r="M22" i="126" s="1"/>
  <c r="F17" i="124"/>
  <c r="K17" i="124" s="1"/>
  <c r="F6" i="127"/>
  <c r="K6" i="127" s="1"/>
  <c r="F20" i="123"/>
  <c r="K20" i="123" s="1"/>
  <c r="F4" i="127"/>
  <c r="O4" i="127" s="1"/>
  <c r="F5" i="124"/>
  <c r="Q5" i="124" s="1"/>
  <c r="E12" i="123"/>
  <c r="M12" i="123" s="1"/>
  <c r="E26" i="125"/>
  <c r="M26" i="125" s="1"/>
  <c r="E24" i="125"/>
  <c r="L24" i="125" s="1"/>
  <c r="E21" i="126"/>
  <c r="M21" i="126" s="1"/>
  <c r="E7" i="122"/>
  <c r="L7" i="122" s="1"/>
  <c r="E24" i="122"/>
  <c r="M24" i="122" s="1"/>
  <c r="E24" i="127"/>
  <c r="N24" i="127" s="1"/>
  <c r="F21" i="126"/>
  <c r="O21" i="126" s="1"/>
  <c r="F3" i="126"/>
  <c r="O3" i="126" s="1"/>
  <c r="E18" i="125"/>
  <c r="L18" i="125" s="1"/>
  <c r="F8" i="125"/>
  <c r="Q8" i="125" s="1"/>
  <c r="F15" i="127"/>
  <c r="O15" i="127" s="1"/>
  <c r="F4" i="123"/>
  <c r="K4" i="123" s="1"/>
  <c r="E5" i="123"/>
  <c r="N5" i="123" s="1"/>
  <c r="E21" i="125"/>
  <c r="L21" i="125" s="1"/>
  <c r="E20" i="124"/>
  <c r="L20" i="124" s="1"/>
  <c r="E26" i="126"/>
  <c r="E10" i="123"/>
  <c r="E16" i="126"/>
  <c r="N16" i="126" s="1"/>
  <c r="E18" i="127"/>
  <c r="M18" i="127" s="1"/>
  <c r="E13" i="123"/>
  <c r="N13" i="123" s="1"/>
  <c r="F23" i="123"/>
  <c r="K23" i="123" s="1"/>
  <c r="E12" i="125"/>
  <c r="N12" i="125" s="1"/>
  <c r="F17" i="123"/>
  <c r="P17" i="123" s="1"/>
  <c r="E17" i="123"/>
  <c r="L17" i="123" s="1"/>
  <c r="F22" i="122"/>
  <c r="P22" i="122" s="1"/>
  <c r="F20" i="122"/>
  <c r="P20" i="122" s="1"/>
  <c r="E8" i="124"/>
  <c r="L8" i="124" s="1"/>
  <c r="E20" i="126"/>
  <c r="M20" i="126" s="1"/>
  <c r="F10" i="125"/>
  <c r="Q10" i="125" s="1"/>
  <c r="F14" i="124"/>
  <c r="P14" i="124" s="1"/>
  <c r="E14" i="126"/>
  <c r="L14" i="126" s="1"/>
  <c r="E4" i="123"/>
  <c r="N4" i="123" s="1"/>
  <c r="F12" i="123"/>
  <c r="P12" i="123" s="1"/>
  <c r="F26" i="124"/>
  <c r="K26" i="124" s="1"/>
  <c r="E9" i="126"/>
  <c r="L9" i="126" s="1"/>
  <c r="E3" i="125"/>
  <c r="M3" i="125" s="1"/>
  <c r="E11" i="127"/>
  <c r="M11" i="127" s="1"/>
  <c r="F20" i="126"/>
  <c r="O20" i="126" s="1"/>
  <c r="E4" i="125"/>
  <c r="N4" i="125" s="1"/>
  <c r="E13" i="126"/>
  <c r="M13" i="126" s="1"/>
  <c r="F6" i="125"/>
  <c r="K6" i="125" s="1"/>
  <c r="F26" i="122"/>
  <c r="P26" i="122" s="1"/>
  <c r="F26" i="123"/>
  <c r="Q26" i="123" s="1"/>
  <c r="F6" i="126"/>
  <c r="K6" i="126" s="1"/>
  <c r="F21" i="127"/>
  <c r="P21" i="127" s="1"/>
  <c r="E27" i="127"/>
  <c r="N27" i="127" s="1"/>
  <c r="F22" i="123"/>
  <c r="O22" i="123" s="1"/>
  <c r="F5" i="125"/>
  <c r="Q5" i="125" s="1"/>
  <c r="E15" i="125"/>
  <c r="L15" i="125" s="1"/>
  <c r="F24" i="126"/>
  <c r="P24" i="126" s="1"/>
  <c r="F3" i="125"/>
  <c r="O3" i="125" s="1"/>
  <c r="E10" i="127"/>
  <c r="L10" i="127" s="1"/>
  <c r="E19" i="124"/>
  <c r="N19" i="124" s="1"/>
  <c r="E6" i="122"/>
  <c r="M6" i="122" s="1"/>
  <c r="E20" i="127"/>
  <c r="N20" i="127" s="1"/>
  <c r="E26" i="124"/>
  <c r="M26" i="124" s="1"/>
  <c r="E5" i="125"/>
  <c r="M5" i="125" s="1"/>
  <c r="F24" i="122"/>
  <c r="K24" i="122" s="1"/>
  <c r="E8" i="122"/>
  <c r="M8" i="122" s="1"/>
  <c r="E14" i="124"/>
  <c r="N14" i="124" s="1"/>
  <c r="E8" i="125"/>
  <c r="L8" i="125" s="1"/>
  <c r="F10" i="127"/>
  <c r="K10" i="127" s="1"/>
  <c r="E17" i="125"/>
  <c r="L17" i="125" s="1"/>
  <c r="F4" i="124"/>
  <c r="P4" i="124" s="1"/>
  <c r="F25" i="122"/>
  <c r="Q25" i="122" s="1"/>
  <c r="E5" i="126"/>
  <c r="N5" i="126" s="1"/>
  <c r="K28" i="122"/>
  <c r="L11" i="126"/>
  <c r="N9" i="127"/>
  <c r="O12" i="122"/>
  <c r="Q28" i="122"/>
  <c r="P3" i="125"/>
  <c r="L9" i="127"/>
  <c r="N19" i="126"/>
  <c r="Q27" i="125"/>
  <c r="Q3" i="125"/>
  <c r="O27" i="125"/>
  <c r="Q11" i="125"/>
  <c r="M12" i="126"/>
  <c r="M3" i="122"/>
  <c r="P8" i="123"/>
  <c r="O10" i="124"/>
  <c r="O12" i="123"/>
  <c r="K21" i="126"/>
  <c r="M26" i="123"/>
  <c r="O25" i="126"/>
  <c r="N27" i="123"/>
  <c r="K3" i="125"/>
  <c r="O11" i="125"/>
  <c r="L26" i="126"/>
  <c r="M27" i="123"/>
  <c r="Q18" i="127"/>
  <c r="M4" i="124"/>
  <c r="K9" i="126"/>
  <c r="P12" i="122"/>
  <c r="N12" i="126"/>
  <c r="N12" i="123"/>
  <c r="P11" i="125"/>
  <c r="K6" i="123"/>
  <c r="O28" i="123"/>
  <c r="M15" i="123"/>
  <c r="M14" i="125"/>
  <c r="Q16" i="122"/>
  <c r="O18" i="127"/>
  <c r="O8" i="127"/>
  <c r="L12" i="123"/>
  <c r="O16" i="122"/>
  <c r="M18" i="122"/>
  <c r="Q8" i="123"/>
  <c r="M19" i="124"/>
  <c r="N10" i="125"/>
  <c r="N7" i="127"/>
  <c r="Q3" i="122"/>
  <c r="L23" i="126"/>
  <c r="L19" i="124"/>
  <c r="M11" i="122"/>
  <c r="L21" i="127"/>
  <c r="P19" i="126"/>
  <c r="N4" i="124"/>
  <c r="P28" i="123"/>
  <c r="O8" i="123"/>
  <c r="Q8" i="127"/>
  <c r="L9" i="125"/>
  <c r="M5" i="122"/>
  <c r="K8" i="127"/>
  <c r="M10" i="125"/>
  <c r="L26" i="123"/>
  <c r="N26" i="122"/>
  <c r="K3" i="122"/>
  <c r="Q12" i="123"/>
  <c r="N5" i="122"/>
  <c r="L26" i="122"/>
  <c r="M7" i="127"/>
  <c r="O3" i="122"/>
  <c r="Q21" i="126"/>
  <c r="L11" i="122"/>
  <c r="M10" i="124"/>
  <c r="M21" i="127"/>
  <c r="K19" i="126"/>
  <c r="N18" i="123"/>
  <c r="Q28" i="123"/>
  <c r="N9" i="125"/>
  <c r="P10" i="124"/>
  <c r="P21" i="126"/>
  <c r="N15" i="123"/>
  <c r="L10" i="124"/>
  <c r="K16" i="122"/>
  <c r="K11" i="127"/>
  <c r="L14" i="125"/>
  <c r="O19" i="126"/>
  <c r="K12" i="123"/>
  <c r="Q10" i="124"/>
  <c r="M23" i="126"/>
  <c r="Q24" i="122"/>
  <c r="M8" i="125"/>
  <c r="K9" i="122"/>
  <c r="P21" i="123"/>
  <c r="O22" i="125"/>
  <c r="N8" i="125"/>
  <c r="P3" i="126"/>
  <c r="Q8" i="126"/>
  <c r="Q9" i="123"/>
  <c r="O7" i="124"/>
  <c r="N17" i="123"/>
  <c r="M23" i="123"/>
  <c r="P12" i="124"/>
  <c r="P19" i="125"/>
  <c r="Q22" i="122"/>
  <c r="O26" i="124"/>
  <c r="P26" i="126"/>
  <c r="L13" i="126"/>
  <c r="O21" i="127"/>
  <c r="K22" i="125"/>
  <c r="M16" i="127"/>
  <c r="M28" i="126"/>
  <c r="K8" i="126"/>
  <c r="P14" i="122"/>
  <c r="Q9" i="122"/>
  <c r="N27" i="124"/>
  <c r="P7" i="125"/>
  <c r="O27" i="126"/>
  <c r="P26" i="124"/>
  <c r="L10" i="122"/>
  <c r="O8" i="125"/>
  <c r="N28" i="126"/>
  <c r="K21" i="123"/>
  <c r="M21" i="123"/>
  <c r="O19" i="125"/>
  <c r="Q12" i="127"/>
  <c r="P15" i="124"/>
  <c r="L15" i="122"/>
  <c r="N16" i="123"/>
  <c r="L21" i="122"/>
  <c r="L27" i="126"/>
  <c r="Q25" i="125"/>
  <c r="O14" i="126"/>
  <c r="O17" i="123"/>
  <c r="O22" i="122"/>
  <c r="K7" i="124"/>
  <c r="Q13" i="126"/>
  <c r="N9" i="123"/>
  <c r="P26" i="127"/>
  <c r="M24" i="125"/>
  <c r="O22" i="127"/>
  <c r="Q15" i="122"/>
  <c r="K5" i="127"/>
  <c r="K17" i="122"/>
  <c r="K3" i="124"/>
  <c r="L23" i="123"/>
  <c r="Q10" i="127"/>
  <c r="L18" i="127"/>
  <c r="N14" i="122"/>
  <c r="N27" i="126"/>
  <c r="Q17" i="123"/>
  <c r="P25" i="127"/>
  <c r="N24" i="125"/>
  <c r="Q20" i="122"/>
  <c r="P23" i="125"/>
  <c r="L27" i="124"/>
  <c r="Q7" i="125"/>
  <c r="K3" i="126"/>
  <c r="L18" i="126"/>
  <c r="O3" i="124"/>
  <c r="O12" i="124"/>
  <c r="N20" i="126"/>
  <c r="M7" i="125"/>
  <c r="N8" i="127"/>
  <c r="L17" i="122"/>
  <c r="M6" i="126"/>
  <c r="P5" i="124"/>
  <c r="N18" i="125"/>
  <c r="M9" i="122"/>
  <c r="N13" i="122"/>
  <c r="O14" i="127"/>
  <c r="K14" i="126"/>
  <c r="K5" i="124"/>
  <c r="K15" i="124"/>
  <c r="P13" i="126"/>
  <c r="K8" i="125"/>
  <c r="Q23" i="125"/>
  <c r="P15" i="126"/>
  <c r="K15" i="122"/>
  <c r="O10" i="127"/>
  <c r="L20" i="126"/>
  <c r="L22" i="126"/>
  <c r="N15" i="122"/>
  <c r="O25" i="125"/>
  <c r="Q14" i="126"/>
  <c r="P11" i="126"/>
  <c r="K17" i="123"/>
  <c r="O5" i="124"/>
  <c r="K11" i="124"/>
  <c r="K14" i="122"/>
  <c r="K22" i="122"/>
  <c r="K9" i="123"/>
  <c r="Q15" i="124"/>
  <c r="P7" i="124"/>
  <c r="K13" i="126"/>
  <c r="P8" i="125"/>
  <c r="O11" i="123"/>
  <c r="Q21" i="123"/>
  <c r="Q26" i="127"/>
  <c r="K23" i="125"/>
  <c r="P12" i="127"/>
  <c r="P15" i="122"/>
  <c r="K25" i="122"/>
  <c r="K7" i="125"/>
  <c r="M25" i="127"/>
  <c r="O5" i="127"/>
  <c r="M8" i="123"/>
  <c r="Q3" i="126"/>
  <c r="M18" i="126"/>
  <c r="Q26" i="124"/>
  <c r="Q3" i="124"/>
  <c r="Q26" i="126"/>
  <c r="K21" i="127"/>
  <c r="M17" i="123"/>
  <c r="P10" i="127"/>
  <c r="Q12" i="124"/>
  <c r="L7" i="125"/>
  <c r="M18" i="125"/>
  <c r="N18" i="127"/>
  <c r="N22" i="126"/>
  <c r="Q19" i="125"/>
  <c r="M13" i="125"/>
  <c r="Q22" i="125"/>
  <c r="L16" i="127"/>
  <c r="N17" i="122"/>
  <c r="M10" i="122"/>
  <c r="M14" i="122"/>
  <c r="N21" i="122"/>
  <c r="N15" i="126"/>
  <c r="K13" i="124"/>
  <c r="O11" i="127"/>
  <c r="N21" i="126"/>
  <c r="M25" i="126"/>
  <c r="M7" i="122"/>
  <c r="L16" i="125"/>
  <c r="O26" i="127"/>
  <c r="Q5" i="127"/>
  <c r="O26" i="126"/>
  <c r="N13" i="126"/>
  <c r="Q21" i="127"/>
  <c r="N13" i="125"/>
  <c r="L8" i="127"/>
  <c r="K25" i="125"/>
  <c r="O8" i="126"/>
  <c r="Q14" i="122"/>
  <c r="P9" i="123"/>
  <c r="M9" i="123"/>
  <c r="O25" i="122"/>
  <c r="L8" i="123"/>
  <c r="P11" i="127"/>
  <c r="M24" i="124"/>
  <c r="M16" i="124"/>
  <c r="N17" i="125"/>
  <c r="M13" i="122"/>
  <c r="K14" i="127"/>
  <c r="Q12" i="125"/>
  <c r="L28" i="124"/>
  <c r="N7" i="123"/>
  <c r="N6" i="126"/>
  <c r="O24" i="124"/>
  <c r="L25" i="126"/>
  <c r="L23" i="122"/>
  <c r="M12" i="122"/>
  <c r="N7" i="122"/>
  <c r="N8" i="122"/>
  <c r="Q19" i="124"/>
  <c r="Q6" i="126"/>
  <c r="P4" i="126"/>
  <c r="K20" i="127"/>
  <c r="L7" i="123"/>
  <c r="L24" i="124"/>
  <c r="Q24" i="124"/>
  <c r="N23" i="122"/>
  <c r="L12" i="122"/>
  <c r="L8" i="122"/>
  <c r="P11" i="122"/>
  <c r="P6" i="124"/>
  <c r="P4" i="127"/>
  <c r="M14" i="124"/>
  <c r="O4" i="122"/>
  <c r="K24" i="124"/>
  <c r="O27" i="124"/>
  <c r="O16" i="126"/>
  <c r="Q13" i="124"/>
  <c r="M5" i="127"/>
  <c r="L25" i="122"/>
  <c r="L21" i="124"/>
  <c r="N5" i="127"/>
  <c r="M6" i="123"/>
  <c r="N9" i="122"/>
  <c r="M4" i="125"/>
  <c r="O22" i="124"/>
  <c r="M12" i="124"/>
  <c r="M20" i="125"/>
  <c r="M24" i="123"/>
  <c r="N5" i="124"/>
  <c r="M15" i="127"/>
  <c r="L21" i="126"/>
  <c r="L6" i="123"/>
  <c r="Q14" i="127"/>
  <c r="N4" i="122"/>
  <c r="M17" i="125"/>
  <c r="N25" i="122"/>
  <c r="M4" i="122"/>
  <c r="Q11" i="126"/>
  <c r="Q15" i="127"/>
  <c r="Q8" i="122"/>
  <c r="M16" i="125"/>
  <c r="Q25" i="127"/>
  <c r="L28" i="123"/>
  <c r="L22" i="124"/>
  <c r="M11" i="123"/>
  <c r="Q11" i="124"/>
  <c r="O15" i="126"/>
  <c r="K15" i="127"/>
  <c r="M28" i="123"/>
  <c r="N22" i="124"/>
  <c r="K8" i="122"/>
  <c r="P6" i="125"/>
  <c r="P11" i="123"/>
  <c r="O20" i="122"/>
  <c r="P22" i="127"/>
  <c r="N21" i="123"/>
  <c r="O11" i="122"/>
  <c r="Q27" i="126"/>
  <c r="P17" i="122"/>
  <c r="K6" i="124"/>
  <c r="K4" i="127"/>
  <c r="N6" i="124"/>
  <c r="K19" i="124"/>
  <c r="P6" i="126"/>
  <c r="N12" i="124"/>
  <c r="N20" i="125"/>
  <c r="O24" i="122"/>
  <c r="Q4" i="126"/>
  <c r="L4" i="125"/>
  <c r="K22" i="124"/>
  <c r="O20" i="127"/>
  <c r="O27" i="127"/>
  <c r="O12" i="125"/>
  <c r="L14" i="124"/>
  <c r="K4" i="122"/>
  <c r="N16" i="124"/>
  <c r="P9" i="122"/>
  <c r="K11" i="123"/>
  <c r="K20" i="122"/>
  <c r="K22" i="127"/>
  <c r="K11" i="122"/>
  <c r="K27" i="126"/>
  <c r="Q17" i="122"/>
  <c r="Q6" i="124"/>
  <c r="Q4" i="127"/>
  <c r="L6" i="124"/>
  <c r="P19" i="124"/>
  <c r="L26" i="127"/>
  <c r="O6" i="126"/>
  <c r="P24" i="122"/>
  <c r="K4" i="126"/>
  <c r="P22" i="124"/>
  <c r="P20" i="127"/>
  <c r="P12" i="125"/>
  <c r="P4" i="122"/>
  <c r="N28" i="124"/>
  <c r="O23" i="127"/>
  <c r="O18" i="122"/>
  <c r="O8" i="124"/>
  <c r="N6" i="122"/>
  <c r="L3" i="127"/>
  <c r="BZ121" i="128" s="1"/>
  <c r="AE121" i="128" s="1"/>
  <c r="K24" i="127"/>
  <c r="L27" i="127"/>
  <c r="N12" i="127"/>
  <c r="Q16" i="126"/>
  <c r="Q22" i="126"/>
  <c r="P24" i="127"/>
  <c r="O12" i="126"/>
  <c r="Q4" i="124"/>
  <c r="L13" i="124"/>
  <c r="M23" i="125"/>
  <c r="P22" i="126"/>
  <c r="K12" i="126"/>
  <c r="O4" i="124"/>
  <c r="N15" i="124"/>
  <c r="L23" i="125"/>
  <c r="L15" i="126"/>
  <c r="Q24" i="127"/>
  <c r="M27" i="127"/>
  <c r="M5" i="124"/>
  <c r="M12" i="127"/>
  <c r="P16" i="126"/>
  <c r="O13" i="124"/>
  <c r="N15" i="127"/>
  <c r="K22" i="126"/>
  <c r="P12" i="126"/>
  <c r="N21" i="124"/>
  <c r="M22" i="127"/>
  <c r="M13" i="124"/>
  <c r="O10" i="125"/>
  <c r="K4" i="124"/>
  <c r="L15" i="124"/>
  <c r="P10" i="125"/>
  <c r="N9" i="126"/>
  <c r="K10" i="125"/>
  <c r="O23" i="126"/>
  <c r="N19" i="127"/>
  <c r="K27" i="127"/>
  <c r="M9" i="126"/>
  <c r="Q18" i="122"/>
  <c r="O3" i="123"/>
  <c r="P27" i="127"/>
  <c r="L24" i="123"/>
  <c r="K18" i="122"/>
  <c r="K20" i="124"/>
  <c r="K3" i="127"/>
  <c r="K10" i="122"/>
  <c r="O17" i="126"/>
  <c r="M20" i="124"/>
  <c r="M11" i="124"/>
  <c r="O16" i="124"/>
  <c r="Q25" i="123"/>
  <c r="Q19" i="127"/>
  <c r="O10" i="123"/>
  <c r="M14" i="123"/>
  <c r="L27" i="125"/>
  <c r="L20" i="122"/>
  <c r="L27" i="122"/>
  <c r="N28" i="127"/>
  <c r="P17" i="127"/>
  <c r="P14" i="125"/>
  <c r="Q13" i="123"/>
  <c r="O16" i="127"/>
  <c r="P26" i="125"/>
  <c r="M19" i="125"/>
  <c r="N26" i="124"/>
  <c r="P23" i="124"/>
  <c r="K15" i="123"/>
  <c r="O7" i="123"/>
  <c r="K4" i="125"/>
  <c r="P10" i="126"/>
  <c r="K18" i="124"/>
  <c r="Q27" i="122"/>
  <c r="N10" i="126"/>
  <c r="N21" i="125"/>
  <c r="Q6" i="127"/>
  <c r="Q18" i="123"/>
  <c r="P18" i="125"/>
  <c r="P20" i="123"/>
  <c r="Q23" i="122"/>
  <c r="K5" i="125"/>
  <c r="K26" i="123"/>
  <c r="L25" i="123"/>
  <c r="M4" i="123"/>
  <c r="K24" i="123"/>
  <c r="M15" i="125"/>
  <c r="K21" i="122"/>
  <c r="M13" i="127"/>
  <c r="K28" i="124"/>
  <c r="K25" i="124"/>
  <c r="M28" i="122"/>
  <c r="O21" i="125"/>
  <c r="L20" i="127"/>
  <c r="Q13" i="127"/>
  <c r="Q7" i="123"/>
  <c r="N26" i="125"/>
  <c r="P8" i="124"/>
  <c r="Q10" i="126"/>
  <c r="P10" i="123"/>
  <c r="N11" i="124"/>
  <c r="O18" i="124"/>
  <c r="N20" i="124"/>
  <c r="P27" i="122"/>
  <c r="M10" i="126"/>
  <c r="K16" i="124"/>
  <c r="Q17" i="127"/>
  <c r="Q14" i="125"/>
  <c r="M21" i="125"/>
  <c r="O13" i="123"/>
  <c r="P6" i="127"/>
  <c r="P21" i="122"/>
  <c r="O18" i="123"/>
  <c r="O18" i="125"/>
  <c r="O25" i="123"/>
  <c r="Q16" i="127"/>
  <c r="K21" i="125"/>
  <c r="M28" i="125"/>
  <c r="M4" i="127"/>
  <c r="N17" i="126"/>
  <c r="O20" i="123"/>
  <c r="P23" i="122"/>
  <c r="O26" i="125"/>
  <c r="O5" i="125"/>
  <c r="P26" i="123"/>
  <c r="L24" i="122"/>
  <c r="M20" i="122"/>
  <c r="L28" i="127"/>
  <c r="M20" i="127"/>
  <c r="N13" i="127"/>
  <c r="K19" i="127"/>
  <c r="M25" i="123"/>
  <c r="L4" i="123"/>
  <c r="O6" i="122"/>
  <c r="L3" i="125"/>
  <c r="M13" i="123"/>
  <c r="Q5" i="126"/>
  <c r="O16" i="123"/>
  <c r="N15" i="125"/>
  <c r="N23" i="124"/>
  <c r="O13" i="122"/>
  <c r="L28" i="122"/>
  <c r="O4" i="125"/>
  <c r="P15" i="123"/>
  <c r="K7" i="123"/>
  <c r="Q4" i="125"/>
  <c r="L26" i="125"/>
  <c r="O15" i="123"/>
  <c r="Q8" i="124"/>
  <c r="K10" i="126"/>
  <c r="Q10" i="123"/>
  <c r="P18" i="124"/>
  <c r="O27" i="122"/>
  <c r="Q16" i="124"/>
  <c r="K17" i="127"/>
  <c r="K14" i="125"/>
  <c r="P13" i="123"/>
  <c r="N14" i="123"/>
  <c r="O6" i="127"/>
  <c r="Q21" i="122"/>
  <c r="P18" i="123"/>
  <c r="Q18" i="125"/>
  <c r="K25" i="123"/>
  <c r="K16" i="127"/>
  <c r="P21" i="125"/>
  <c r="L28" i="125"/>
  <c r="N27" i="125"/>
  <c r="L4" i="127"/>
  <c r="L17" i="126"/>
  <c r="Q20" i="123"/>
  <c r="O23" i="122"/>
  <c r="K26" i="125"/>
  <c r="P5" i="125"/>
  <c r="O26" i="123"/>
  <c r="N24" i="122"/>
  <c r="M27" i="122"/>
  <c r="P21" i="124"/>
  <c r="O16" i="125"/>
  <c r="K6" i="122"/>
  <c r="N3" i="125"/>
  <c r="K5" i="126"/>
  <c r="P16" i="123"/>
  <c r="M23" i="124"/>
  <c r="Q28" i="125"/>
  <c r="K13" i="122"/>
  <c r="L19" i="125"/>
  <c r="Q28" i="124"/>
  <c r="P7" i="122"/>
  <c r="P25" i="124"/>
  <c r="P24" i="123"/>
  <c r="L3" i="123"/>
  <c r="O28" i="125"/>
  <c r="Q23" i="124"/>
  <c r="K13" i="127"/>
  <c r="M16" i="122"/>
  <c r="L6" i="122"/>
  <c r="L12" i="125"/>
  <c r="M7" i="126"/>
  <c r="K5" i="123"/>
  <c r="M23" i="127"/>
  <c r="L20" i="123"/>
  <c r="L5" i="123"/>
  <c r="M10" i="127"/>
  <c r="M24" i="127"/>
  <c r="M16" i="126"/>
  <c r="N17" i="127"/>
  <c r="N9" i="124"/>
  <c r="N7" i="124"/>
  <c r="M5" i="123"/>
  <c r="Q27" i="124"/>
  <c r="M12" i="125"/>
  <c r="L18" i="123"/>
  <c r="L17" i="127"/>
  <c r="P20" i="126"/>
  <c r="K7" i="127"/>
  <c r="L3" i="124"/>
  <c r="O9" i="124"/>
  <c r="K27" i="124"/>
  <c r="N10" i="127"/>
  <c r="L11" i="125"/>
  <c r="O5" i="122"/>
  <c r="K19" i="123"/>
  <c r="O28" i="126"/>
  <c r="M22" i="125"/>
  <c r="N14" i="127"/>
  <c r="Q7" i="126"/>
  <c r="O9" i="127"/>
  <c r="N11" i="127"/>
  <c r="N18" i="124"/>
  <c r="L5" i="126"/>
  <c r="P28" i="127"/>
  <c r="P22" i="123"/>
  <c r="N6" i="125"/>
  <c r="O17" i="124"/>
  <c r="Q13" i="125"/>
  <c r="P4" i="123"/>
  <c r="P18" i="126"/>
  <c r="M17" i="124"/>
  <c r="O15" i="125"/>
  <c r="N14" i="126"/>
  <c r="Q23" i="127"/>
  <c r="M8" i="124"/>
  <c r="Q20" i="124"/>
  <c r="P3" i="127"/>
  <c r="Q10" i="122"/>
  <c r="K3" i="123"/>
  <c r="Q23" i="126"/>
  <c r="M19" i="127"/>
  <c r="Q17" i="126"/>
  <c r="P9" i="125"/>
  <c r="P23" i="127"/>
  <c r="N8" i="124"/>
  <c r="O20" i="124"/>
  <c r="N26" i="127"/>
  <c r="Q3" i="127"/>
  <c r="O10" i="122"/>
  <c r="P3" i="123"/>
  <c r="K23" i="126"/>
  <c r="K17" i="126"/>
  <c r="O9" i="125"/>
  <c r="K9" i="125"/>
  <c r="P19" i="122"/>
  <c r="P14" i="123"/>
  <c r="Q27" i="123"/>
  <c r="Q20" i="125"/>
  <c r="K26" i="122"/>
  <c r="O24" i="126"/>
  <c r="O27" i="123"/>
  <c r="O20" i="125"/>
  <c r="Q23" i="123"/>
  <c r="K24" i="126"/>
  <c r="N19" i="122"/>
  <c r="Q19" i="122"/>
  <c r="Q14" i="123"/>
  <c r="O7" i="122"/>
  <c r="P23" i="123"/>
  <c r="O26" i="122"/>
  <c r="K24" i="125"/>
  <c r="M24" i="126"/>
  <c r="M19" i="122"/>
  <c r="Q24" i="125"/>
  <c r="K16" i="125"/>
  <c r="L26" i="124"/>
  <c r="P17" i="125"/>
  <c r="Q17" i="125"/>
  <c r="K21" i="124"/>
  <c r="N4" i="126"/>
  <c r="L3" i="126"/>
  <c r="BS117" i="128" s="1"/>
  <c r="L16" i="126"/>
  <c r="K9" i="127"/>
  <c r="K5" i="122"/>
  <c r="L11" i="127"/>
  <c r="N5" i="125"/>
  <c r="Q19" i="123"/>
  <c r="Q5" i="123"/>
  <c r="N23" i="127"/>
  <c r="K28" i="126"/>
  <c r="N25" i="125"/>
  <c r="O7" i="126"/>
  <c r="M22" i="123"/>
  <c r="M7" i="124"/>
  <c r="P9" i="124"/>
  <c r="Q20" i="126"/>
  <c r="L22" i="125"/>
  <c r="M9" i="124"/>
  <c r="L14" i="127"/>
  <c r="P7" i="126"/>
  <c r="L22" i="123"/>
  <c r="K9" i="124"/>
  <c r="L24" i="127"/>
  <c r="L25" i="125"/>
  <c r="O21" i="124"/>
  <c r="P16" i="125"/>
  <c r="K20" i="126"/>
  <c r="P7" i="127"/>
  <c r="L4" i="126"/>
  <c r="M3" i="126"/>
  <c r="O17" i="125"/>
  <c r="K19" i="122"/>
  <c r="O19" i="127"/>
  <c r="M11" i="125"/>
  <c r="O14" i="123"/>
  <c r="P28" i="124"/>
  <c r="Q9" i="127"/>
  <c r="P27" i="123"/>
  <c r="Q5" i="122"/>
  <c r="Q7" i="122"/>
  <c r="P20" i="125"/>
  <c r="L5" i="125"/>
  <c r="O23" i="123"/>
  <c r="P19" i="123"/>
  <c r="Q26" i="122"/>
  <c r="Q6" i="122"/>
  <c r="O5" i="123"/>
  <c r="L13" i="123"/>
  <c r="O24" i="125"/>
  <c r="Q24" i="126"/>
  <c r="O25" i="124"/>
  <c r="Q28" i="126"/>
  <c r="N24" i="126"/>
  <c r="Q24" i="123"/>
  <c r="O5" i="126"/>
  <c r="K16" i="123"/>
  <c r="N3" i="123"/>
  <c r="K28" i="125"/>
  <c r="Q13" i="122"/>
  <c r="K23" i="124"/>
  <c r="P13" i="127"/>
  <c r="N16" i="122"/>
  <c r="M3" i="124"/>
  <c r="M20" i="123"/>
  <c r="N7" i="126"/>
  <c r="Q7" i="127"/>
  <c r="K22" i="123"/>
  <c r="O13" i="125"/>
  <c r="O4" i="123"/>
  <c r="N11" i="123"/>
  <c r="O11" i="126"/>
  <c r="P11" i="124"/>
  <c r="P15" i="127"/>
  <c r="K25" i="127"/>
  <c r="O8" i="122"/>
  <c r="K15" i="126"/>
  <c r="O12" i="127"/>
  <c r="P25" i="122"/>
  <c r="L25" i="127"/>
  <c r="L16" i="123"/>
  <c r="K14" i="124"/>
  <c r="M3" i="127"/>
  <c r="Q22" i="123"/>
  <c r="P13" i="125"/>
  <c r="Q4" i="123"/>
  <c r="K18" i="126"/>
  <c r="N17" i="124"/>
  <c r="P17" i="124"/>
  <c r="O6" i="125"/>
  <c r="M18" i="124"/>
  <c r="M5" i="126"/>
  <c r="O28" i="127"/>
  <c r="N22" i="127"/>
  <c r="P15" i="125"/>
  <c r="M14" i="126"/>
  <c r="O14" i="124"/>
  <c r="Q14" i="124"/>
  <c r="L6" i="125"/>
  <c r="O18" i="126"/>
  <c r="Q17" i="124"/>
  <c r="Q6" i="125"/>
  <c r="Q28" i="127"/>
  <c r="K15" i="125"/>
  <c r="F51" i="115"/>
  <c r="F28" i="115"/>
  <c r="F33" i="115"/>
  <c r="F10" i="115"/>
  <c r="F36" i="115"/>
  <c r="F21" i="115"/>
  <c r="F35" i="115"/>
  <c r="F37" i="115"/>
  <c r="F54" i="115"/>
  <c r="F18" i="115"/>
  <c r="F7" i="115"/>
  <c r="F17" i="115"/>
  <c r="F65" i="115"/>
  <c r="F4" i="115"/>
  <c r="F22" i="115"/>
  <c r="F32" i="115"/>
  <c r="F39" i="115"/>
  <c r="F63" i="115"/>
  <c r="F27" i="115"/>
  <c r="F57" i="115"/>
  <c r="F52" i="115"/>
  <c r="F56" i="115"/>
  <c r="F43" i="115"/>
  <c r="F14" i="115"/>
  <c r="S4" i="47"/>
  <c r="H3" i="112"/>
  <c r="I289" i="61"/>
  <c r="H289" i="61"/>
  <c r="G289" i="61"/>
  <c r="H365" i="61"/>
  <c r="G365" i="61"/>
  <c r="I365" i="61"/>
  <c r="G337" i="61"/>
  <c r="I337" i="61"/>
  <c r="H337" i="61"/>
  <c r="H445" i="61"/>
  <c r="G445" i="61"/>
  <c r="I445" i="61"/>
  <c r="H449" i="61"/>
  <c r="G449" i="61"/>
  <c r="I449" i="61"/>
  <c r="I513" i="61"/>
  <c r="G513" i="61"/>
  <c r="H513" i="61"/>
  <c r="I433" i="61"/>
  <c r="G433" i="61"/>
  <c r="H433" i="61"/>
  <c r="I233" i="61"/>
  <c r="G233" i="61"/>
  <c r="H233" i="61"/>
  <c r="H221" i="61"/>
  <c r="I221" i="61"/>
  <c r="G221" i="61"/>
  <c r="I273" i="61"/>
  <c r="G273" i="61"/>
  <c r="H273" i="61"/>
  <c r="I297" i="61"/>
  <c r="H297" i="61"/>
  <c r="G297" i="61"/>
  <c r="H229" i="61"/>
  <c r="G229" i="61"/>
  <c r="I229" i="61"/>
  <c r="I321" i="61"/>
  <c r="H321" i="61"/>
  <c r="G321" i="61"/>
  <c r="G217" i="61"/>
  <c r="I217" i="61"/>
  <c r="H217" i="61"/>
  <c r="G477" i="61"/>
  <c r="H477" i="61"/>
  <c r="I477" i="61"/>
  <c r="G505" i="61"/>
  <c r="I505" i="61"/>
  <c r="H505" i="61"/>
  <c r="I469" i="61"/>
  <c r="G469" i="61"/>
  <c r="H469" i="61"/>
  <c r="I409" i="61"/>
  <c r="G409" i="61"/>
  <c r="H409" i="61"/>
  <c r="G457" i="61"/>
  <c r="H457" i="61"/>
  <c r="I457" i="61"/>
  <c r="H345" i="61"/>
  <c r="I345" i="61"/>
  <c r="G345" i="61"/>
  <c r="H245" i="61"/>
  <c r="G245" i="61"/>
  <c r="I245" i="61"/>
  <c r="G309" i="61"/>
  <c r="H309" i="61"/>
  <c r="I309" i="61"/>
  <c r="I257" i="61"/>
  <c r="H257" i="61"/>
  <c r="G257" i="61"/>
  <c r="I357" i="61"/>
  <c r="H357" i="61"/>
  <c r="G357" i="61"/>
  <c r="I377" i="61"/>
  <c r="G377" i="61"/>
  <c r="H377" i="61"/>
  <c r="I481" i="61"/>
  <c r="G481" i="61"/>
  <c r="H481" i="61"/>
  <c r="I437" i="61"/>
  <c r="H437" i="61"/>
  <c r="G437" i="61"/>
  <c r="I441" i="61"/>
  <c r="H441" i="61"/>
  <c r="G441" i="61"/>
  <c r="I393" i="61"/>
  <c r="G393" i="61"/>
  <c r="H393" i="61"/>
  <c r="I261" i="61"/>
  <c r="G261" i="61"/>
  <c r="H261" i="61"/>
  <c r="I253" i="61"/>
  <c r="H253" i="61"/>
  <c r="G253" i="61"/>
  <c r="G421" i="61"/>
  <c r="I421" i="61"/>
  <c r="H421" i="61"/>
  <c r="I325" i="61"/>
  <c r="G325" i="61"/>
  <c r="H325" i="61"/>
  <c r="I241" i="61"/>
  <c r="G241" i="61"/>
  <c r="H241" i="61"/>
  <c r="H277" i="61"/>
  <c r="I277" i="61"/>
  <c r="G277" i="61"/>
  <c r="I429" i="61"/>
  <c r="G429" i="61"/>
  <c r="H429" i="61"/>
  <c r="F8" i="115"/>
  <c r="F11" i="115"/>
  <c r="F45" i="115"/>
  <c r="F19" i="115"/>
  <c r="F55" i="115"/>
  <c r="F48" i="115"/>
  <c r="F58" i="115"/>
  <c r="F47" i="115"/>
  <c r="F29" i="115"/>
  <c r="F31" i="115"/>
  <c r="F61" i="115"/>
  <c r="F20" i="115"/>
  <c r="F41" i="115"/>
  <c r="F9" i="115"/>
  <c r="F34" i="115"/>
  <c r="F49" i="115"/>
  <c r="F15" i="115"/>
  <c r="F62" i="115"/>
  <c r="F16" i="115"/>
  <c r="F24" i="115"/>
  <c r="F53" i="115"/>
  <c r="F64" i="115"/>
  <c r="F59" i="115"/>
  <c r="F5" i="115"/>
  <c r="F42" i="115"/>
  <c r="F12" i="115"/>
  <c r="F23" i="115"/>
  <c r="F38" i="115"/>
  <c r="F3" i="115"/>
  <c r="F6" i="115"/>
  <c r="F50" i="115"/>
  <c r="F40" i="115"/>
  <c r="B56" i="115"/>
  <c r="D85" i="120" s="1"/>
  <c r="B61" i="115"/>
  <c r="D96" i="120" s="1"/>
  <c r="B59" i="115"/>
  <c r="D32" i="120" s="1"/>
  <c r="B65" i="115"/>
  <c r="D128" i="120" s="1"/>
  <c r="B66" i="115"/>
  <c r="D5" i="120" s="1"/>
  <c r="B64" i="115"/>
  <c r="D69" i="120" s="1"/>
  <c r="B62" i="115"/>
  <c r="D37" i="120" s="1"/>
  <c r="B57" i="115"/>
  <c r="D112" i="120" s="1"/>
  <c r="B63" i="115"/>
  <c r="D64" i="120" s="1"/>
  <c r="B60" i="115"/>
  <c r="D101" i="120" s="1"/>
  <c r="B55" i="115"/>
  <c r="D48" i="120" s="1"/>
  <c r="B58" i="115"/>
  <c r="D21" i="120" s="1"/>
  <c r="G213" i="61"/>
  <c r="H213" i="61"/>
  <c r="I213" i="61"/>
  <c r="H269" i="61"/>
  <c r="G269" i="61"/>
  <c r="I269" i="61"/>
  <c r="H285" i="61"/>
  <c r="G285" i="61"/>
  <c r="I285" i="61"/>
  <c r="I281" i="61"/>
  <c r="H281" i="61"/>
  <c r="G281" i="61"/>
  <c r="G493" i="61"/>
  <c r="I493" i="61"/>
  <c r="H493" i="61"/>
  <c r="G489" i="61"/>
  <c r="H489" i="61"/>
  <c r="I489" i="61"/>
  <c r="I501" i="61"/>
  <c r="G501" i="61"/>
  <c r="H501" i="61"/>
  <c r="H385" i="61"/>
  <c r="G385" i="61"/>
  <c r="I385" i="61"/>
  <c r="G265" i="61"/>
  <c r="I265" i="61"/>
  <c r="H265" i="61"/>
  <c r="I329" i="61"/>
  <c r="G329" i="61"/>
  <c r="H329" i="61"/>
  <c r="G497" i="61"/>
  <c r="I497" i="61"/>
  <c r="H497" i="61"/>
  <c r="G381" i="61"/>
  <c r="H381" i="61"/>
  <c r="I381" i="61"/>
  <c r="I349" i="61"/>
  <c r="G349" i="61"/>
  <c r="H349" i="61"/>
  <c r="G353" i="61"/>
  <c r="H353" i="61"/>
  <c r="I353" i="61"/>
  <c r="G317" i="61"/>
  <c r="I317" i="61"/>
  <c r="H317" i="61"/>
  <c r="H237" i="61"/>
  <c r="G237" i="61"/>
  <c r="I237" i="61"/>
  <c r="H293" i="61"/>
  <c r="I293" i="61"/>
  <c r="G293" i="61"/>
  <c r="AX9" i="47"/>
  <c r="AY4" i="47"/>
  <c r="AY6" i="47"/>
  <c r="AZ6" i="47" s="1"/>
  <c r="AY5" i="47"/>
  <c r="G313" i="61"/>
  <c r="I313" i="61"/>
  <c r="H313" i="61"/>
  <c r="H425" i="61"/>
  <c r="G425" i="61"/>
  <c r="I425" i="61"/>
  <c r="G461" i="61"/>
  <c r="I461" i="61"/>
  <c r="H461" i="61"/>
  <c r="G361" i="61"/>
  <c r="H361" i="61"/>
  <c r="I361" i="61"/>
  <c r="G397" i="61"/>
  <c r="I397" i="61"/>
  <c r="H397" i="61"/>
  <c r="G373" i="61"/>
  <c r="H373" i="61"/>
  <c r="I373" i="61"/>
  <c r="I485" i="61"/>
  <c r="H485" i="61"/>
  <c r="G485" i="61"/>
  <c r="H401" i="61"/>
  <c r="I401" i="61"/>
  <c r="G401" i="61"/>
  <c r="H413" i="61"/>
  <c r="I413" i="61"/>
  <c r="G413" i="61"/>
  <c r="H249" i="61"/>
  <c r="G249" i="61"/>
  <c r="I249" i="61"/>
  <c r="G473" i="61"/>
  <c r="H473" i="61"/>
  <c r="I473" i="61"/>
  <c r="I225" i="61"/>
  <c r="G225" i="61"/>
  <c r="H225" i="61"/>
  <c r="H333" i="61"/>
  <c r="I333" i="61"/>
  <c r="G333" i="61"/>
  <c r="H417" i="61"/>
  <c r="I417" i="61"/>
  <c r="G417" i="61"/>
  <c r="I405" i="61"/>
  <c r="G405" i="61"/>
  <c r="H405" i="61"/>
  <c r="G369" i="61"/>
  <c r="H369" i="61"/>
  <c r="I369" i="61"/>
  <c r="H453" i="61"/>
  <c r="G453" i="61"/>
  <c r="I453" i="61"/>
  <c r="H465" i="61"/>
  <c r="G465" i="61"/>
  <c r="I465" i="61"/>
  <c r="H509" i="61"/>
  <c r="I509" i="61"/>
  <c r="G509" i="61"/>
  <c r="H301" i="61"/>
  <c r="G301" i="61"/>
  <c r="I301" i="61"/>
  <c r="G305" i="61"/>
  <c r="I305" i="61"/>
  <c r="H305" i="61"/>
  <c r="G341" i="61"/>
  <c r="I341" i="61"/>
  <c r="H341" i="61"/>
  <c r="F25" i="115"/>
  <c r="F66" i="115"/>
  <c r="F26" i="115"/>
  <c r="F13" i="115"/>
  <c r="F60" i="115"/>
  <c r="F30" i="115"/>
  <c r="F46" i="115"/>
  <c r="L10" i="123" l="1"/>
  <c r="N10" i="123"/>
  <c r="M10" i="123"/>
  <c r="M25" i="124"/>
  <c r="N25" i="124"/>
  <c r="L25" i="124"/>
  <c r="K12" i="122"/>
  <c r="Q12" i="122"/>
  <c r="P9" i="126"/>
  <c r="Q9" i="126"/>
  <c r="O9" i="126"/>
  <c r="P6" i="123"/>
  <c r="O6" i="123"/>
  <c r="Q6" i="123"/>
  <c r="M6" i="127"/>
  <c r="L6" i="127"/>
  <c r="N6" i="127"/>
  <c r="K18" i="127"/>
  <c r="P18" i="127"/>
  <c r="P28" i="122"/>
  <c r="O28" i="122"/>
  <c r="L19" i="126"/>
  <c r="M19" i="126"/>
  <c r="N18" i="122"/>
  <c r="L18" i="122"/>
  <c r="L3" i="122"/>
  <c r="AG4" i="128" s="1"/>
  <c r="N3" i="122"/>
  <c r="M8" i="126"/>
  <c r="L8" i="126"/>
  <c r="N8" i="126"/>
  <c r="N19" i="123"/>
  <c r="M19" i="123"/>
  <c r="L19" i="123"/>
  <c r="AI4" i="128"/>
  <c r="U4" i="131" s="1"/>
  <c r="AH5" i="128"/>
  <c r="M26" i="126"/>
  <c r="N26" i="126"/>
  <c r="P27" i="125"/>
  <c r="K27" i="125"/>
  <c r="M11" i="126"/>
  <c r="N11" i="126"/>
  <c r="Q25" i="126"/>
  <c r="P25" i="126"/>
  <c r="K25" i="126"/>
  <c r="L22" i="122"/>
  <c r="N22" i="122"/>
  <c r="M22" i="122"/>
  <c r="BZ67" i="128"/>
  <c r="AE67" i="128" s="1"/>
  <c r="CB54" i="128"/>
  <c r="BZ75" i="128"/>
  <c r="AE75" i="128" s="1"/>
  <c r="AG16" i="128"/>
  <c r="Z16" i="128" s="1"/>
  <c r="BZ60" i="128"/>
  <c r="AE60" i="128" s="1"/>
  <c r="BZ89" i="128"/>
  <c r="AE89" i="128" s="1"/>
  <c r="BZ86" i="128"/>
  <c r="AE86" i="128" s="1"/>
  <c r="BZ69" i="128"/>
  <c r="AE69" i="128" s="1"/>
  <c r="CB114" i="128"/>
  <c r="BZ98" i="128"/>
  <c r="AE98" i="128" s="1"/>
  <c r="BZ80" i="128"/>
  <c r="AE80" i="128" s="1"/>
  <c r="BZ106" i="128"/>
  <c r="AE106" i="128" s="1"/>
  <c r="BZ130" i="128"/>
  <c r="AE130" i="128" s="1"/>
  <c r="CB71" i="128"/>
  <c r="CB79" i="128"/>
  <c r="CB92" i="128"/>
  <c r="BZ122" i="128"/>
  <c r="AE122" i="128" s="1"/>
  <c r="CB93" i="128"/>
  <c r="CB99" i="128"/>
  <c r="BZ125" i="128"/>
  <c r="AE125" i="128" s="1"/>
  <c r="BZ74" i="128"/>
  <c r="AE74" i="128" s="1"/>
  <c r="BZ129" i="128"/>
  <c r="AE129" i="128" s="1"/>
  <c r="BZ72" i="128"/>
  <c r="AE72" i="128" s="1"/>
  <c r="CB83" i="128"/>
  <c r="BZ57" i="128"/>
  <c r="AE57" i="128" s="1"/>
  <c r="CB91" i="128"/>
  <c r="BZ110" i="128"/>
  <c r="AE110" i="128" s="1"/>
  <c r="BZ65" i="128"/>
  <c r="AE65" i="128" s="1"/>
  <c r="BZ66" i="128"/>
  <c r="AE66" i="128" s="1"/>
  <c r="BZ77" i="128"/>
  <c r="AE77" i="128" s="1"/>
  <c r="CB115" i="128"/>
  <c r="CB62" i="128"/>
  <c r="CB107" i="128"/>
  <c r="CB85" i="128"/>
  <c r="BZ126" i="128"/>
  <c r="AE126" i="128" s="1"/>
  <c r="BZ78" i="128"/>
  <c r="AE78" i="128" s="1"/>
  <c r="CB81" i="128"/>
  <c r="BZ63" i="128"/>
  <c r="AE63" i="128" s="1"/>
  <c r="CB116" i="128"/>
  <c r="CB58" i="128"/>
  <c r="BH93" i="128"/>
  <c r="AC93" i="128" s="1"/>
  <c r="BH125" i="128"/>
  <c r="AC125" i="128" s="1"/>
  <c r="BH87" i="128"/>
  <c r="AC87" i="128" s="1"/>
  <c r="BH121" i="128"/>
  <c r="AC121" i="128" s="1"/>
  <c r="BI106" i="128"/>
  <c r="BH80" i="128"/>
  <c r="AC80" i="128" s="1"/>
  <c r="BI96" i="128"/>
  <c r="BI97" i="128"/>
  <c r="BH128" i="128"/>
  <c r="AC128" i="128" s="1"/>
  <c r="BI120" i="128"/>
  <c r="BI90" i="128"/>
  <c r="BH81" i="128"/>
  <c r="AC81" i="128" s="1"/>
  <c r="BI66" i="128"/>
  <c r="BH76" i="128"/>
  <c r="AC76" i="128" s="1"/>
  <c r="BH113" i="128"/>
  <c r="AC113" i="128" s="1"/>
  <c r="BI100" i="128"/>
  <c r="BI108" i="128"/>
  <c r="BI84" i="128"/>
  <c r="BH57" i="128"/>
  <c r="AC57" i="128" s="1"/>
  <c r="BI118" i="128"/>
  <c r="BH58" i="128"/>
  <c r="AC58" i="128" s="1"/>
  <c r="BA74" i="128"/>
  <c r="BH123" i="128"/>
  <c r="AC123" i="128" s="1"/>
  <c r="BH55" i="128"/>
  <c r="AC55" i="128" s="1"/>
  <c r="BI77" i="128"/>
  <c r="BI98" i="128"/>
  <c r="BH107" i="128"/>
  <c r="AC107" i="128" s="1"/>
  <c r="BH68" i="128"/>
  <c r="AC68" i="128" s="1"/>
  <c r="BH129" i="128"/>
  <c r="AC129" i="128" s="1"/>
  <c r="BI94" i="128"/>
  <c r="BH56" i="128"/>
  <c r="AC56" i="128" s="1"/>
  <c r="BI126" i="128"/>
  <c r="BH91" i="128"/>
  <c r="AC91" i="128" s="1"/>
  <c r="BH109" i="128"/>
  <c r="AC109" i="128" s="1"/>
  <c r="BH110" i="128"/>
  <c r="AC110" i="128" s="1"/>
  <c r="BI95" i="128"/>
  <c r="BH101" i="128"/>
  <c r="AC101" i="128" s="1"/>
  <c r="BI55" i="128"/>
  <c r="BI104" i="128"/>
  <c r="BH105" i="128"/>
  <c r="AC105" i="128" s="1"/>
  <c r="BH77" i="128"/>
  <c r="AC77" i="128" s="1"/>
  <c r="BI92" i="128"/>
  <c r="BH97" i="128"/>
  <c r="AC97" i="128" s="1"/>
  <c r="BI56" i="128"/>
  <c r="BH82" i="128"/>
  <c r="AC82" i="128" s="1"/>
  <c r="BI130" i="128"/>
  <c r="BI63" i="128"/>
  <c r="BI113" i="128"/>
  <c r="BI128" i="128"/>
  <c r="BH130" i="128"/>
  <c r="AC130" i="128" s="1"/>
  <c r="BH103" i="128"/>
  <c r="AC103" i="128" s="1"/>
  <c r="BI73" i="128"/>
  <c r="BH78" i="128"/>
  <c r="AC78" i="128" s="1"/>
  <c r="BI78" i="128"/>
  <c r="BI109" i="128"/>
  <c r="BI81" i="128"/>
  <c r="BH120" i="128"/>
  <c r="AC120" i="128" s="1"/>
  <c r="BI69" i="128"/>
  <c r="BH116" i="128"/>
  <c r="AC116" i="128" s="1"/>
  <c r="BI125" i="128"/>
  <c r="BH92" i="128"/>
  <c r="AC92" i="128" s="1"/>
  <c r="BH119" i="128"/>
  <c r="AC119" i="128" s="1"/>
  <c r="BI129" i="128"/>
  <c r="BI114" i="128"/>
  <c r="BH112" i="128"/>
  <c r="AC112" i="128" s="1"/>
  <c r="BI93" i="128"/>
  <c r="BH60" i="128"/>
  <c r="AC60" i="128" s="1"/>
  <c r="BI87" i="128"/>
  <c r="BH66" i="128"/>
  <c r="AC66" i="128" s="1"/>
  <c r="BH124" i="128"/>
  <c r="AC124" i="128" s="1"/>
  <c r="BH84" i="128"/>
  <c r="AC84" i="128" s="1"/>
  <c r="BI91" i="128"/>
  <c r="BI75" i="128"/>
  <c r="BH95" i="128"/>
  <c r="AC95" i="128" s="1"/>
  <c r="BI79" i="128"/>
  <c r="BH70" i="128"/>
  <c r="AC70" i="128" s="1"/>
  <c r="BH89" i="128"/>
  <c r="AC89" i="128" s="1"/>
  <c r="BH99" i="128"/>
  <c r="AC99" i="128" s="1"/>
  <c r="BH111" i="128"/>
  <c r="AC111" i="128" s="1"/>
  <c r="AH23" i="128"/>
  <c r="AI26" i="128"/>
  <c r="CB128" i="128"/>
  <c r="BZ70" i="128"/>
  <c r="AE70" i="128" s="1"/>
  <c r="CB88" i="128"/>
  <c r="CB129" i="128"/>
  <c r="CB98" i="128"/>
  <c r="BZ97" i="128"/>
  <c r="AE97" i="128" s="1"/>
  <c r="CB110" i="128"/>
  <c r="CB89" i="128"/>
  <c r="BZ107" i="128"/>
  <c r="AE107" i="128" s="1"/>
  <c r="BZ120" i="128"/>
  <c r="AE120" i="128" s="1"/>
  <c r="CB63" i="128"/>
  <c r="CB69" i="128"/>
  <c r="BZ99" i="128"/>
  <c r="AE99" i="128" s="1"/>
  <c r="BZ113" i="128"/>
  <c r="AE113" i="128" s="1"/>
  <c r="CB73" i="128"/>
  <c r="CB117" i="128"/>
  <c r="CB64" i="128"/>
  <c r="BZ111" i="128"/>
  <c r="AE111" i="128" s="1"/>
  <c r="CB90" i="128"/>
  <c r="CB80" i="128"/>
  <c r="CB78" i="128"/>
  <c r="BZ109" i="128"/>
  <c r="AE109" i="128" s="1"/>
  <c r="BZ114" i="128"/>
  <c r="AE114" i="128" s="1"/>
  <c r="BZ61" i="128"/>
  <c r="AE61" i="128" s="1"/>
  <c r="BZ81" i="128"/>
  <c r="AE81" i="128" s="1"/>
  <c r="BZ95" i="128"/>
  <c r="AE95" i="128" s="1"/>
  <c r="BZ94" i="128"/>
  <c r="AE94" i="128" s="1"/>
  <c r="CB60" i="128"/>
  <c r="BZ55" i="128"/>
  <c r="AE55" i="128" s="1"/>
  <c r="CB87" i="128"/>
  <c r="BZ104" i="128"/>
  <c r="AE104" i="128" s="1"/>
  <c r="CB66" i="128"/>
  <c r="BZ116" i="128"/>
  <c r="AE116" i="128" s="1"/>
  <c r="BZ79" i="128"/>
  <c r="AE79" i="128" s="1"/>
  <c r="CB57" i="128"/>
  <c r="CB126" i="128"/>
  <c r="BZ58" i="128"/>
  <c r="AE58" i="128" s="1"/>
  <c r="BZ119" i="128"/>
  <c r="AE119" i="128" s="1"/>
  <c r="CA56" i="128"/>
  <c r="AG32" i="128"/>
  <c r="Z32" i="128" s="1"/>
  <c r="BZ115" i="128"/>
  <c r="AE115" i="128" s="1"/>
  <c r="CB70" i="128"/>
  <c r="BZ123" i="128"/>
  <c r="AE123" i="128" s="1"/>
  <c r="CB100" i="128"/>
  <c r="CB109" i="128"/>
  <c r="BZ102" i="128"/>
  <c r="AE102" i="128" s="1"/>
  <c r="BZ112" i="128"/>
  <c r="AE112" i="128" s="1"/>
  <c r="CB127" i="128"/>
  <c r="BZ101" i="128"/>
  <c r="AE101" i="128" s="1"/>
  <c r="CB120" i="128"/>
  <c r="CB55" i="128"/>
  <c r="BZ87" i="128"/>
  <c r="AE87" i="128" s="1"/>
  <c r="CB104" i="128"/>
  <c r="CB113" i="128"/>
  <c r="BZ124" i="128"/>
  <c r="AE124" i="128" s="1"/>
  <c r="CB68" i="128"/>
  <c r="BZ84" i="128"/>
  <c r="AE84" i="128" s="1"/>
  <c r="CB111" i="128"/>
  <c r="BZ90" i="128"/>
  <c r="AE90" i="128" s="1"/>
  <c r="CB119" i="128"/>
  <c r="BZ88" i="128"/>
  <c r="AE88" i="128" s="1"/>
  <c r="BZ76" i="128"/>
  <c r="AE76" i="128" s="1"/>
  <c r="CB97" i="128"/>
  <c r="CB61" i="128"/>
  <c r="CB96" i="128"/>
  <c r="CB95" i="128"/>
  <c r="CB94" i="128"/>
  <c r="BZ108" i="128"/>
  <c r="AE108" i="128" s="1"/>
  <c r="BZ103" i="128"/>
  <c r="AE103" i="128" s="1"/>
  <c r="CB118" i="128"/>
  <c r="CB56" i="128"/>
  <c r="CB59" i="128"/>
  <c r="CB105" i="128"/>
  <c r="BZ73" i="128"/>
  <c r="AE73" i="128" s="1"/>
  <c r="BZ117" i="128"/>
  <c r="AE117" i="128" s="1"/>
  <c r="BZ64" i="128"/>
  <c r="AE64" i="128" s="1"/>
  <c r="CB82" i="128"/>
  <c r="CB121" i="128"/>
  <c r="BZ128" i="128"/>
  <c r="AE128" i="128" s="1"/>
  <c r="CB75" i="128"/>
  <c r="CB106" i="128"/>
  <c r="CB123" i="128"/>
  <c r="BZ100" i="128"/>
  <c r="AE100" i="128" s="1"/>
  <c r="CB76" i="128"/>
  <c r="CB130" i="128"/>
  <c r="BZ96" i="128"/>
  <c r="AE96" i="128" s="1"/>
  <c r="BZ93" i="128"/>
  <c r="AE93" i="128" s="1"/>
  <c r="CB65" i="128"/>
  <c r="CB108" i="128"/>
  <c r="CB103" i="128"/>
  <c r="BZ118" i="128"/>
  <c r="AE118" i="128" s="1"/>
  <c r="BZ56" i="128"/>
  <c r="AE56" i="128" s="1"/>
  <c r="BZ105" i="128"/>
  <c r="AE105" i="128" s="1"/>
  <c r="CB125" i="128"/>
  <c r="CB77" i="128"/>
  <c r="CB67" i="128"/>
  <c r="BZ92" i="128"/>
  <c r="AE92" i="128" s="1"/>
  <c r="BZ82" i="128"/>
  <c r="AE82" i="128" s="1"/>
  <c r="CB74" i="128"/>
  <c r="BZ62" i="128"/>
  <c r="AE62" i="128" s="1"/>
  <c r="CB122" i="128"/>
  <c r="CB102" i="128"/>
  <c r="CB112" i="128"/>
  <c r="CB72" i="128"/>
  <c r="BZ127" i="128"/>
  <c r="AE127" i="128" s="1"/>
  <c r="CB101" i="128"/>
  <c r="BZ71" i="128"/>
  <c r="AE71" i="128" s="1"/>
  <c r="BZ83" i="128"/>
  <c r="AE83" i="128" s="1"/>
  <c r="BZ85" i="128"/>
  <c r="AE85" i="128" s="1"/>
  <c r="CB86" i="128"/>
  <c r="BZ59" i="128"/>
  <c r="AE59" i="128" s="1"/>
  <c r="BZ54" i="128"/>
  <c r="AE54" i="128" s="1"/>
  <c r="CB124" i="128"/>
  <c r="BZ68" i="128"/>
  <c r="AE68" i="128" s="1"/>
  <c r="CB84" i="128"/>
  <c r="BZ91" i="128"/>
  <c r="AE91" i="128" s="1"/>
  <c r="AH35" i="128"/>
  <c r="AY117" i="128"/>
  <c r="AB117" i="128" s="1"/>
  <c r="AQ111" i="128"/>
  <c r="AP109" i="128"/>
  <c r="AA109" i="128" s="1"/>
  <c r="AH73" i="128"/>
  <c r="AQ109" i="128"/>
  <c r="BI110" i="128"/>
  <c r="BH73" i="128"/>
  <c r="AC73" i="128" s="1"/>
  <c r="BH64" i="128"/>
  <c r="AC64" i="128" s="1"/>
  <c r="BI80" i="128"/>
  <c r="BH106" i="128"/>
  <c r="AC106" i="128" s="1"/>
  <c r="BI76" i="128"/>
  <c r="BH61" i="128"/>
  <c r="AC61" i="128" s="1"/>
  <c r="BH96" i="128"/>
  <c r="AC96" i="128" s="1"/>
  <c r="BH94" i="128"/>
  <c r="AC94" i="128" s="1"/>
  <c r="BI65" i="128"/>
  <c r="BH108" i="128"/>
  <c r="AC108" i="128" s="1"/>
  <c r="BI103" i="128"/>
  <c r="BH85" i="128"/>
  <c r="AC85" i="128" s="1"/>
  <c r="BH104" i="128"/>
  <c r="AC104" i="128" s="1"/>
  <c r="BI59" i="128"/>
  <c r="BI54" i="128"/>
  <c r="BI57" i="128"/>
  <c r="BH126" i="128"/>
  <c r="AC126" i="128" s="1"/>
  <c r="BH67" i="128"/>
  <c r="AC67" i="128" s="1"/>
  <c r="BH90" i="128"/>
  <c r="AC90" i="128" s="1"/>
  <c r="BI121" i="128"/>
  <c r="AH67" i="128"/>
  <c r="BH115" i="128"/>
  <c r="AC115" i="128" s="1"/>
  <c r="BH75" i="128"/>
  <c r="AC75" i="128" s="1"/>
  <c r="BI88" i="128"/>
  <c r="BH100" i="128"/>
  <c r="AC100" i="128" s="1"/>
  <c r="BI122" i="128"/>
  <c r="BH72" i="128"/>
  <c r="AC72" i="128" s="1"/>
  <c r="BI101" i="128"/>
  <c r="BH71" i="128"/>
  <c r="AC71" i="128" s="1"/>
  <c r="BH83" i="128"/>
  <c r="AC83" i="128" s="1"/>
  <c r="BH118" i="128"/>
  <c r="AC118" i="128" s="1"/>
  <c r="BH86" i="128"/>
  <c r="AC86" i="128" s="1"/>
  <c r="BI105" i="128"/>
  <c r="BI117" i="128"/>
  <c r="BI58" i="128"/>
  <c r="BH74" i="128"/>
  <c r="AC74" i="128" s="1"/>
  <c r="BI62" i="128"/>
  <c r="BH102" i="128"/>
  <c r="AC102" i="128" s="1"/>
  <c r="BI127" i="128"/>
  <c r="BI115" i="128"/>
  <c r="BI70" i="128"/>
  <c r="BH88" i="128"/>
  <c r="AC88" i="128" s="1"/>
  <c r="BH62" i="128"/>
  <c r="AC62" i="128" s="1"/>
  <c r="BH114" i="128"/>
  <c r="AC114" i="128" s="1"/>
  <c r="BI112" i="128"/>
  <c r="BI89" i="128"/>
  <c r="BH65" i="128"/>
  <c r="AC65" i="128" s="1"/>
  <c r="BH63" i="128"/>
  <c r="AC63" i="128" s="1"/>
  <c r="BI83" i="128"/>
  <c r="BI99" i="128"/>
  <c r="BH59" i="128"/>
  <c r="AC59" i="128" s="1"/>
  <c r="BH54" i="128"/>
  <c r="AC54" i="128" s="1"/>
  <c r="BI124" i="128"/>
  <c r="BI68" i="128"/>
  <c r="BI111" i="128"/>
  <c r="BI82" i="128"/>
  <c r="BI119" i="128"/>
  <c r="BI74" i="128"/>
  <c r="BI123" i="128"/>
  <c r="BH98" i="128"/>
  <c r="AC98" i="128" s="1"/>
  <c r="BH122" i="128"/>
  <c r="AC122" i="128" s="1"/>
  <c r="BI102" i="128"/>
  <c r="BI61" i="128"/>
  <c r="BI72" i="128"/>
  <c r="BH127" i="128"/>
  <c r="AC127" i="128" s="1"/>
  <c r="BI107" i="128"/>
  <c r="BI60" i="128"/>
  <c r="BI71" i="128"/>
  <c r="BH69" i="128"/>
  <c r="AC69" i="128" s="1"/>
  <c r="BI85" i="128"/>
  <c r="BI86" i="128"/>
  <c r="BI116" i="128"/>
  <c r="BH79" i="128"/>
  <c r="AC79" i="128" s="1"/>
  <c r="BH117" i="128"/>
  <c r="AC117" i="128" s="1"/>
  <c r="BI64" i="128"/>
  <c r="BI67" i="128"/>
  <c r="AQ113" i="128"/>
  <c r="AG84" i="128"/>
  <c r="Z84" i="128" s="1"/>
  <c r="AG19" i="128"/>
  <c r="AH6" i="128"/>
  <c r="AG89" i="128"/>
  <c r="AP101" i="128"/>
  <c r="AA101" i="128" s="1"/>
  <c r="AQ89" i="128"/>
  <c r="AH26" i="128"/>
  <c r="AG34" i="128"/>
  <c r="Z34" i="128" s="1"/>
  <c r="AG31" i="128"/>
  <c r="Z31" i="128" s="1"/>
  <c r="AQ116" i="128"/>
  <c r="AG59" i="128"/>
  <c r="AG92" i="128"/>
  <c r="Z92" i="128" s="1"/>
  <c r="AI101" i="128"/>
  <c r="AG33" i="128"/>
  <c r="AH116" i="128"/>
  <c r="AP63" i="128"/>
  <c r="AA63" i="128" s="1"/>
  <c r="AG128" i="128"/>
  <c r="Z128" i="128" s="1"/>
  <c r="AH123" i="128"/>
  <c r="AH102" i="128"/>
  <c r="AG63" i="128"/>
  <c r="AH113" i="128"/>
  <c r="AI76" i="128"/>
  <c r="AP92" i="128"/>
  <c r="AA92" i="128" s="1"/>
  <c r="BJ87" i="128"/>
  <c r="AR54" i="128"/>
  <c r="AP108" i="128"/>
  <c r="AA108" i="128" s="1"/>
  <c r="AP64" i="128"/>
  <c r="AA64" i="128" s="1"/>
  <c r="AH115" i="128"/>
  <c r="AG37" i="128"/>
  <c r="AH14" i="128"/>
  <c r="T14" i="131" s="1"/>
  <c r="AI109" i="128"/>
  <c r="AG130" i="128"/>
  <c r="Z130" i="128" s="1"/>
  <c r="AG101" i="128"/>
  <c r="Z101" i="128" s="1"/>
  <c r="AH104" i="128"/>
  <c r="AI11" i="128"/>
  <c r="AG58" i="128"/>
  <c r="Z58" i="128" s="1"/>
  <c r="AI14" i="128"/>
  <c r="AH122" i="128"/>
  <c r="AI95" i="128"/>
  <c r="AI108" i="128"/>
  <c r="AI119" i="128"/>
  <c r="AP69" i="128"/>
  <c r="AA69" i="128" s="1"/>
  <c r="AQ80" i="128"/>
  <c r="AP93" i="128"/>
  <c r="AA93" i="128" s="1"/>
  <c r="AP79" i="128"/>
  <c r="AA79" i="128" s="1"/>
  <c r="AP58" i="128"/>
  <c r="AA58" i="128" s="1"/>
  <c r="AH12" i="128"/>
  <c r="AI12" i="128"/>
  <c r="AG41" i="128"/>
  <c r="Z41" i="128" s="1"/>
  <c r="AG100" i="128"/>
  <c r="AI122" i="128"/>
  <c r="AI81" i="128"/>
  <c r="AH95" i="128"/>
  <c r="AH83" i="128"/>
  <c r="AI59" i="128"/>
  <c r="AG21" i="128"/>
  <c r="Z21" i="128" s="1"/>
  <c r="AQ128" i="128"/>
  <c r="AS128" i="128" s="1"/>
  <c r="AP130" i="128"/>
  <c r="AA130" i="128" s="1"/>
  <c r="AP73" i="128"/>
  <c r="AA73" i="128" s="1"/>
  <c r="AP114" i="128"/>
  <c r="AA114" i="128" s="1"/>
  <c r="AP103" i="128"/>
  <c r="AA103" i="128" s="1"/>
  <c r="AI7" i="128"/>
  <c r="AG75" i="128"/>
  <c r="AH33" i="128"/>
  <c r="AG42" i="128"/>
  <c r="Z42" i="128" s="1"/>
  <c r="AG78" i="128"/>
  <c r="Z78" i="128" s="1"/>
  <c r="AG88" i="128"/>
  <c r="BK88" i="128" s="1"/>
  <c r="AG62" i="128"/>
  <c r="Z62" i="128" s="1"/>
  <c r="AH76" i="128"/>
  <c r="AI114" i="128"/>
  <c r="AH112" i="128"/>
  <c r="AI23" i="128"/>
  <c r="U23" i="131" s="1"/>
  <c r="AI127" i="128"/>
  <c r="AH120" i="128"/>
  <c r="AG69" i="128"/>
  <c r="Z69" i="128" s="1"/>
  <c r="AH56" i="128"/>
  <c r="AI116" i="128"/>
  <c r="AH11" i="128"/>
  <c r="AI30" i="128"/>
  <c r="AG119" i="128"/>
  <c r="Z119" i="128" s="1"/>
  <c r="AG106" i="128"/>
  <c r="Z106" i="128" s="1"/>
  <c r="AI130" i="128"/>
  <c r="AI107" i="128"/>
  <c r="AH63" i="128"/>
  <c r="AI21" i="128"/>
  <c r="AP106" i="128"/>
  <c r="AA106" i="128" s="1"/>
  <c r="AP81" i="128"/>
  <c r="AA81" i="128" s="1"/>
  <c r="AQ99" i="128"/>
  <c r="AQ57" i="128"/>
  <c r="AQ70" i="128"/>
  <c r="AQ130" i="128"/>
  <c r="AQ65" i="128"/>
  <c r="AQ87" i="128"/>
  <c r="AP117" i="128"/>
  <c r="AA117" i="128" s="1"/>
  <c r="AQ119" i="128"/>
  <c r="BJ64" i="128"/>
  <c r="AH7" i="128"/>
  <c r="AI19" i="128"/>
  <c r="AG7" i="128"/>
  <c r="AH75" i="128"/>
  <c r="AI78" i="128"/>
  <c r="AH88" i="128"/>
  <c r="AH8" i="128"/>
  <c r="T3" i="131" s="1"/>
  <c r="AH97" i="128"/>
  <c r="AI112" i="128"/>
  <c r="AI96" i="128"/>
  <c r="AH22" i="128"/>
  <c r="AH71" i="128"/>
  <c r="AG87" i="128"/>
  <c r="AS87" i="128" s="1"/>
  <c r="AI28" i="128"/>
  <c r="AI13" i="128"/>
  <c r="AG67" i="128"/>
  <c r="AJ67" i="128" s="1"/>
  <c r="AH121" i="128"/>
  <c r="AG129" i="128"/>
  <c r="Z129" i="128" s="1"/>
  <c r="AG35" i="128"/>
  <c r="AH107" i="128"/>
  <c r="AH118" i="128"/>
  <c r="AP129" i="128"/>
  <c r="AA129" i="128" s="1"/>
  <c r="AP127" i="128"/>
  <c r="AA127" i="128" s="1"/>
  <c r="AQ66" i="128"/>
  <c r="AP126" i="128"/>
  <c r="AA126" i="128" s="1"/>
  <c r="AQ129" i="128"/>
  <c r="AQ81" i="128"/>
  <c r="AQ108" i="128"/>
  <c r="AQ104" i="128"/>
  <c r="BJ93" i="128"/>
  <c r="AQ58" i="128"/>
  <c r="AP115" i="128"/>
  <c r="AA115" i="128" s="1"/>
  <c r="AQ100" i="128"/>
  <c r="AQ110" i="128"/>
  <c r="AR93" i="128"/>
  <c r="AP87" i="128"/>
  <c r="AA87" i="128" s="1"/>
  <c r="AP66" i="128"/>
  <c r="AA66" i="128" s="1"/>
  <c r="AQ124" i="128"/>
  <c r="AQ84" i="128"/>
  <c r="AQ74" i="128"/>
  <c r="AP100" i="128"/>
  <c r="AA100" i="128" s="1"/>
  <c r="AQ97" i="128"/>
  <c r="AQ96" i="128"/>
  <c r="AP94" i="128"/>
  <c r="AA94" i="128" s="1"/>
  <c r="AQ103" i="128"/>
  <c r="AP56" i="128"/>
  <c r="AA56" i="128" s="1"/>
  <c r="AQ73" i="128"/>
  <c r="AQ64" i="128"/>
  <c r="AQ121" i="128"/>
  <c r="AP80" i="128"/>
  <c r="AA80" i="128" s="1"/>
  <c r="AP90" i="128"/>
  <c r="AA90" i="128" s="1"/>
  <c r="AQ67" i="128"/>
  <c r="AQ126" i="128"/>
  <c r="AQ125" i="128"/>
  <c r="AQ54" i="128"/>
  <c r="AP116" i="128"/>
  <c r="AA116" i="128" s="1"/>
  <c r="AP99" i="128"/>
  <c r="AA99" i="128" s="1"/>
  <c r="AQ69" i="128"/>
  <c r="AP55" i="128"/>
  <c r="AA55" i="128" s="1"/>
  <c r="AQ71" i="128"/>
  <c r="AQ120" i="128"/>
  <c r="AP107" i="128"/>
  <c r="AA107" i="128" s="1"/>
  <c r="AQ93" i="128"/>
  <c r="AP72" i="128"/>
  <c r="AA72" i="128" s="1"/>
  <c r="AQ112" i="128"/>
  <c r="AQ102" i="128"/>
  <c r="AQ114" i="128"/>
  <c r="AQ98" i="128"/>
  <c r="AP123" i="128"/>
  <c r="AA123" i="128" s="1"/>
  <c r="AQ115" i="128"/>
  <c r="AP91" i="128"/>
  <c r="AA91" i="128" s="1"/>
  <c r="AP111" i="128"/>
  <c r="AA111" i="128" s="1"/>
  <c r="AQ77" i="128"/>
  <c r="AP57" i="128"/>
  <c r="AA57" i="128" s="1"/>
  <c r="AQ79" i="128"/>
  <c r="AQ59" i="128"/>
  <c r="AP86" i="128"/>
  <c r="AA86" i="128" s="1"/>
  <c r="AQ85" i="128"/>
  <c r="AP83" i="128"/>
  <c r="AA83" i="128" s="1"/>
  <c r="AQ101" i="128"/>
  <c r="AQ95" i="128"/>
  <c r="AP112" i="128"/>
  <c r="AA112" i="128" s="1"/>
  <c r="AP102" i="128"/>
  <c r="AA102" i="128" s="1"/>
  <c r="AP98" i="128"/>
  <c r="AA98" i="128" s="1"/>
  <c r="AQ123" i="128"/>
  <c r="AP78" i="128"/>
  <c r="AA78" i="128" s="1"/>
  <c r="AP128" i="128"/>
  <c r="AA128" i="128" s="1"/>
  <c r="AP121" i="128"/>
  <c r="AA121" i="128" s="1"/>
  <c r="AP82" i="128"/>
  <c r="AA82" i="128" s="1"/>
  <c r="AQ90" i="128"/>
  <c r="AP84" i="128"/>
  <c r="AA84" i="128" s="1"/>
  <c r="AP77" i="128"/>
  <c r="AA77" i="128" s="1"/>
  <c r="AP124" i="128"/>
  <c r="AA124" i="128" s="1"/>
  <c r="AP105" i="128"/>
  <c r="AA105" i="128" s="1"/>
  <c r="AQ86" i="128"/>
  <c r="AP85" i="128"/>
  <c r="AA85" i="128" s="1"/>
  <c r="AQ83" i="128"/>
  <c r="AQ55" i="128"/>
  <c r="AP71" i="128"/>
  <c r="AA71" i="128" s="1"/>
  <c r="AQ60" i="128"/>
  <c r="AQ107" i="128"/>
  <c r="AQ127" i="128"/>
  <c r="AQ72" i="128"/>
  <c r="AP61" i="128"/>
  <c r="AA61" i="128" s="1"/>
  <c r="AP97" i="128"/>
  <c r="AA97" i="128" s="1"/>
  <c r="AP122" i="128"/>
  <c r="AA122" i="128" s="1"/>
  <c r="AQ62" i="128"/>
  <c r="AQ106" i="128"/>
  <c r="AP74" i="128"/>
  <c r="AA74" i="128" s="1"/>
  <c r="AQ91" i="128"/>
  <c r="AP67" i="128"/>
  <c r="AA67" i="128" s="1"/>
  <c r="AP68" i="128"/>
  <c r="AA68" i="128" s="1"/>
  <c r="AP125" i="128"/>
  <c r="AA125" i="128" s="1"/>
  <c r="AP54" i="128"/>
  <c r="AA54" i="128" s="1"/>
  <c r="AP59" i="128"/>
  <c r="AA59" i="128" s="1"/>
  <c r="AQ56" i="128"/>
  <c r="AQ118" i="128"/>
  <c r="AP120" i="128"/>
  <c r="AA120" i="128" s="1"/>
  <c r="AQ94" i="128"/>
  <c r="AP89" i="128"/>
  <c r="AA89" i="128" s="1"/>
  <c r="AQ61" i="128"/>
  <c r="AQ122" i="128"/>
  <c r="AP62" i="128"/>
  <c r="AA62" i="128" s="1"/>
  <c r="AQ88" i="128"/>
  <c r="AP70" i="128"/>
  <c r="AA70" i="128" s="1"/>
  <c r="AP75" i="128"/>
  <c r="AA75" i="128" s="1"/>
  <c r="AG9" i="128"/>
  <c r="AG82" i="128"/>
  <c r="Z82" i="128" s="1"/>
  <c r="AG77" i="128"/>
  <c r="Z77" i="128" s="1"/>
  <c r="AI79" i="128"/>
  <c r="AG28" i="128"/>
  <c r="S28" i="131" s="1"/>
  <c r="AI69" i="128"/>
  <c r="AG120" i="128"/>
  <c r="AI24" i="128"/>
  <c r="AG22" i="128"/>
  <c r="AI89" i="128"/>
  <c r="AI20" i="128"/>
  <c r="AG102" i="128"/>
  <c r="Z102" i="128" s="1"/>
  <c r="AG8" i="128"/>
  <c r="AJ8" i="128" s="1"/>
  <c r="AG123" i="128"/>
  <c r="AI70" i="128"/>
  <c r="AI128" i="128"/>
  <c r="AG80" i="128"/>
  <c r="AI27" i="128"/>
  <c r="AH17" i="128"/>
  <c r="AG117" i="128"/>
  <c r="AG73" i="128"/>
  <c r="AI54" i="128"/>
  <c r="AG105" i="128"/>
  <c r="Z105" i="128" s="1"/>
  <c r="AG25" i="128"/>
  <c r="S25" i="131" s="1"/>
  <c r="AG29" i="128"/>
  <c r="Z29" i="128" s="1"/>
  <c r="AH66" i="128"/>
  <c r="AH99" i="128"/>
  <c r="AG85" i="128"/>
  <c r="Z85" i="128" s="1"/>
  <c r="AG15" i="128"/>
  <c r="AI103" i="128"/>
  <c r="AG108" i="128"/>
  <c r="AH60" i="128"/>
  <c r="AI94" i="128"/>
  <c r="AH93" i="128"/>
  <c r="AH92" i="128"/>
  <c r="AH68" i="128"/>
  <c r="AH18" i="128"/>
  <c r="AG56" i="128"/>
  <c r="AS56" i="128" s="1"/>
  <c r="AG83" i="128"/>
  <c r="AG60" i="128"/>
  <c r="BK60" i="128" s="1"/>
  <c r="AH24" i="128"/>
  <c r="T24" i="131" s="1"/>
  <c r="AG93" i="128"/>
  <c r="Z93" i="128" s="1"/>
  <c r="AV93" i="128" s="1"/>
  <c r="AH96" i="128"/>
  <c r="AH61" i="128"/>
  <c r="AI97" i="128"/>
  <c r="AH62" i="128"/>
  <c r="AI88" i="128"/>
  <c r="AH70" i="128"/>
  <c r="AH74" i="128"/>
  <c r="AG91" i="128"/>
  <c r="Z91" i="128" s="1"/>
  <c r="AI90" i="128"/>
  <c r="AH126" i="128"/>
  <c r="AG125" i="128"/>
  <c r="BK125" i="128" s="1"/>
  <c r="AG79" i="128"/>
  <c r="AG54" i="128"/>
  <c r="Z54" i="128" s="1"/>
  <c r="AI105" i="128"/>
  <c r="AG116" i="128"/>
  <c r="AH59" i="128"/>
  <c r="AI29" i="128"/>
  <c r="AI86" i="128"/>
  <c r="AH16" i="128"/>
  <c r="AG118" i="128"/>
  <c r="AI83" i="128"/>
  <c r="AH55" i="128"/>
  <c r="AH108" i="128"/>
  <c r="AH65" i="128"/>
  <c r="AH94" i="128"/>
  <c r="AG127" i="128"/>
  <c r="BK127" i="128" s="1"/>
  <c r="AG72" i="128"/>
  <c r="AS72" i="128" s="1"/>
  <c r="AG23" i="128"/>
  <c r="Z23" i="128" s="1"/>
  <c r="AG20" i="128"/>
  <c r="Z20" i="128" s="1"/>
  <c r="AG61" i="128"/>
  <c r="AG97" i="128"/>
  <c r="BK97" i="128" s="1"/>
  <c r="AG122" i="128"/>
  <c r="Z122" i="128" s="1"/>
  <c r="AG109" i="128"/>
  <c r="Z109" i="128" s="1"/>
  <c r="AI98" i="128"/>
  <c r="BJ80" i="128"/>
  <c r="BJ119" i="128"/>
  <c r="BJ83" i="128"/>
  <c r="BJ71" i="128"/>
  <c r="BJ120" i="128"/>
  <c r="BJ65" i="128"/>
  <c r="BJ94" i="128"/>
  <c r="BJ90" i="128"/>
  <c r="BJ73" i="128"/>
  <c r="BJ63" i="128"/>
  <c r="BJ89" i="128"/>
  <c r="BJ54" i="128"/>
  <c r="BJ101" i="128"/>
  <c r="BJ112" i="128"/>
  <c r="BJ109" i="128"/>
  <c r="BJ82" i="128"/>
  <c r="BJ130" i="128"/>
  <c r="BJ97" i="128"/>
  <c r="BJ96" i="128"/>
  <c r="AH19" i="128"/>
  <c r="AG12" i="128"/>
  <c r="S16" i="131" s="1"/>
  <c r="AG115" i="128"/>
  <c r="Z115" i="128" s="1"/>
  <c r="AG6" i="128"/>
  <c r="Z6" i="128" s="1"/>
  <c r="AH78" i="128"/>
  <c r="AI106" i="128"/>
  <c r="AI129" i="128"/>
  <c r="AG98" i="128"/>
  <c r="Z98" i="128" s="1"/>
  <c r="AH114" i="128"/>
  <c r="AI61" i="128"/>
  <c r="AH81" i="128"/>
  <c r="AI72" i="128"/>
  <c r="AI22" i="128"/>
  <c r="AH10" i="128"/>
  <c r="AH103" i="128"/>
  <c r="AI85" i="128"/>
  <c r="AG66" i="128"/>
  <c r="Z66" i="128" s="1"/>
  <c r="AI25" i="128"/>
  <c r="U25" i="131" s="1"/>
  <c r="AG18" i="128"/>
  <c r="AH79" i="128"/>
  <c r="AI77" i="128"/>
  <c r="AI82" i="128"/>
  <c r="AI75" i="128"/>
  <c r="AI100" i="128"/>
  <c r="AH110" i="128"/>
  <c r="AH127" i="128"/>
  <c r="AI65" i="128"/>
  <c r="AG99" i="128"/>
  <c r="Z99" i="128" s="1"/>
  <c r="BN99" i="128" s="1"/>
  <c r="AI57" i="128"/>
  <c r="AH9" i="128"/>
  <c r="AQ75" i="128"/>
  <c r="AP88" i="128"/>
  <c r="AA88" i="128" s="1"/>
  <c r="AP76" i="128"/>
  <c r="AA76" i="128" s="1"/>
  <c r="AP96" i="128"/>
  <c r="AA96" i="128" s="1"/>
  <c r="AP60" i="128"/>
  <c r="AA60" i="128" s="1"/>
  <c r="AP104" i="128"/>
  <c r="AA104" i="128" s="1"/>
  <c r="AQ105" i="128"/>
  <c r="AQ117" i="128"/>
  <c r="AQ82" i="128"/>
  <c r="AQ78" i="128"/>
  <c r="AQ76" i="128"/>
  <c r="AP110" i="128"/>
  <c r="AA110" i="128" s="1"/>
  <c r="AP95" i="128"/>
  <c r="AA95" i="128" s="1"/>
  <c r="AP65" i="128"/>
  <c r="AA65" i="128" s="1"/>
  <c r="AQ63" i="128"/>
  <c r="AP118" i="128"/>
  <c r="AA118" i="128" s="1"/>
  <c r="AP113" i="128"/>
  <c r="AA113" i="128" s="1"/>
  <c r="AQ68" i="128"/>
  <c r="AQ92" i="128"/>
  <c r="AP119" i="128"/>
  <c r="AA119" i="128" s="1"/>
  <c r="AG26" i="128"/>
  <c r="Z26" i="128" s="1"/>
  <c r="AH39" i="128"/>
  <c r="AG40" i="128"/>
  <c r="Z40" i="128" s="1"/>
  <c r="AG13" i="128"/>
  <c r="AP19" i="128"/>
  <c r="AH52" i="128"/>
  <c r="AG43" i="128"/>
  <c r="AG45" i="128"/>
  <c r="AG5" i="128"/>
  <c r="AJ5" i="128" s="1"/>
  <c r="AH32" i="128"/>
  <c r="AH37" i="128"/>
  <c r="AG53" i="128"/>
  <c r="AG44" i="128"/>
  <c r="AH42" i="128"/>
  <c r="AG47" i="128"/>
  <c r="Z47" i="128" s="1"/>
  <c r="AH31" i="128"/>
  <c r="AQ37" i="128"/>
  <c r="AP46" i="128"/>
  <c r="AQ53" i="128"/>
  <c r="AQ45" i="128"/>
  <c r="AI45" i="128"/>
  <c r="AP49" i="128"/>
  <c r="AI50" i="128"/>
  <c r="AH21" i="128"/>
  <c r="AG36" i="128"/>
  <c r="S36" i="131" s="1"/>
  <c r="AG126" i="128"/>
  <c r="AS126" i="128" s="1"/>
  <c r="AH84" i="128"/>
  <c r="AG111" i="128"/>
  <c r="AS111" i="128" s="1"/>
  <c r="AH90" i="128"/>
  <c r="AH58" i="128"/>
  <c r="AI91" i="128"/>
  <c r="AG121" i="128"/>
  <c r="AI9" i="128"/>
  <c r="U9" i="131" s="1"/>
  <c r="AI115" i="128"/>
  <c r="AG70" i="128"/>
  <c r="AG14" i="128"/>
  <c r="AI123" i="128"/>
  <c r="AH100" i="128"/>
  <c r="AI8" i="128"/>
  <c r="U8" i="131" s="1"/>
  <c r="AH109" i="128"/>
  <c r="AG39" i="128"/>
  <c r="AI102" i="128"/>
  <c r="AI110" i="128"/>
  <c r="AG112" i="128"/>
  <c r="AG81" i="128"/>
  <c r="AH72" i="128"/>
  <c r="AG95" i="128"/>
  <c r="Z95" i="128" s="1"/>
  <c r="AG52" i="128"/>
  <c r="AG107" i="128"/>
  <c r="AJ107" i="128" s="1"/>
  <c r="AG24" i="128"/>
  <c r="Z24" i="128" s="1"/>
  <c r="AG65" i="128"/>
  <c r="AI10" i="128"/>
  <c r="U10" i="131" s="1"/>
  <c r="AG71" i="128"/>
  <c r="AJ71" i="128" s="1"/>
  <c r="AI55" i="128"/>
  <c r="AI15" i="128"/>
  <c r="AI87" i="128"/>
  <c r="AI118" i="128"/>
  <c r="AG104" i="128"/>
  <c r="AS104" i="128" s="1"/>
  <c r="AG86" i="128"/>
  <c r="BK86" i="128" s="1"/>
  <c r="AH28" i="128"/>
  <c r="T28" i="131" s="1"/>
  <c r="AI18" i="128"/>
  <c r="AH54" i="128"/>
  <c r="AI73" i="128"/>
  <c r="AI125" i="128"/>
  <c r="AI117" i="128"/>
  <c r="AI68" i="128"/>
  <c r="AI126" i="128"/>
  <c r="AI84" i="128"/>
  <c r="AI111" i="128"/>
  <c r="AG90" i="128"/>
  <c r="AH91" i="128"/>
  <c r="AG74" i="128"/>
  <c r="Z74" i="128" s="1"/>
  <c r="AR26" i="128"/>
  <c r="AP39" i="128"/>
  <c r="AP22" i="128"/>
  <c r="AR87" i="128"/>
  <c r="BJ75" i="128"/>
  <c r="BJ70" i="128"/>
  <c r="BJ108" i="128"/>
  <c r="BJ118" i="128"/>
  <c r="BJ99" i="128"/>
  <c r="BJ113" i="128"/>
  <c r="BJ57" i="128"/>
  <c r="BJ77" i="128"/>
  <c r="BJ111" i="128"/>
  <c r="BJ91" i="128"/>
  <c r="BJ128" i="128"/>
  <c r="BJ129" i="128"/>
  <c r="BJ114" i="128"/>
  <c r="BJ69" i="128"/>
  <c r="BJ86" i="128"/>
  <c r="BJ59" i="128"/>
  <c r="BJ68" i="128"/>
  <c r="AI71" i="128"/>
  <c r="AG55" i="128"/>
  <c r="AH15" i="128"/>
  <c r="AH87" i="128"/>
  <c r="AH85" i="128"/>
  <c r="AI104" i="128"/>
  <c r="AH86" i="128"/>
  <c r="AH29" i="128"/>
  <c r="AI113" i="128"/>
  <c r="AH105" i="128"/>
  <c r="AH13" i="128"/>
  <c r="T5" i="131" s="1"/>
  <c r="AG124" i="128"/>
  <c r="BK124" i="128" s="1"/>
  <c r="AH125" i="128"/>
  <c r="AH117" i="128"/>
  <c r="AG68" i="128"/>
  <c r="AG64" i="128"/>
  <c r="AG17" i="128"/>
  <c r="Z17" i="128" s="1"/>
  <c r="AH111" i="128"/>
  <c r="AG27" i="128"/>
  <c r="AH80" i="128"/>
  <c r="AI74" i="128"/>
  <c r="AR7" i="128"/>
  <c r="AR100" i="128"/>
  <c r="AP20" i="128"/>
  <c r="BJ115" i="128"/>
  <c r="BJ110" i="128"/>
  <c r="BJ107" i="128"/>
  <c r="BJ60" i="128"/>
  <c r="BJ55" i="128"/>
  <c r="BJ104" i="128"/>
  <c r="BJ66" i="128"/>
  <c r="BJ117" i="128"/>
  <c r="BJ84" i="128"/>
  <c r="BJ121" i="128"/>
  <c r="BJ88" i="128"/>
  <c r="BJ62" i="128"/>
  <c r="BJ95" i="128"/>
  <c r="BJ116" i="128"/>
  <c r="BJ105" i="128"/>
  <c r="BJ79" i="128"/>
  <c r="BJ74" i="128"/>
  <c r="AI124" i="128"/>
  <c r="AG57" i="128"/>
  <c r="Z57" i="128" s="1"/>
  <c r="AH77" i="128"/>
  <c r="AI64" i="128"/>
  <c r="AI17" i="128"/>
  <c r="AG38" i="128"/>
  <c r="AH27" i="128"/>
  <c r="AH82" i="128"/>
  <c r="AI80" i="128"/>
  <c r="AI121" i="128"/>
  <c r="AH128" i="128"/>
  <c r="AI6" i="128"/>
  <c r="U6" i="131" s="1"/>
  <c r="AG46" i="128"/>
  <c r="Z46" i="128" s="1"/>
  <c r="AH106" i="128"/>
  <c r="AH129" i="128"/>
  <c r="AI62" i="128"/>
  <c r="AH98" i="128"/>
  <c r="AG76" i="128"/>
  <c r="AG114" i="128"/>
  <c r="Z114" i="128" s="1"/>
  <c r="AV114" i="128" s="1"/>
  <c r="AH130" i="128"/>
  <c r="AG110" i="128"/>
  <c r="Z110" i="128" s="1"/>
  <c r="AH20" i="128"/>
  <c r="T20" i="131" s="1"/>
  <c r="AG96" i="128"/>
  <c r="Z96" i="128" s="1"/>
  <c r="AH89" i="128"/>
  <c r="AI93" i="128"/>
  <c r="AG94" i="128"/>
  <c r="AG51" i="128"/>
  <c r="Z51" i="128" s="1"/>
  <c r="AH101" i="128"/>
  <c r="AJ101" i="128" s="1"/>
  <c r="AI60" i="128"/>
  <c r="AI120" i="128"/>
  <c r="AI63" i="128"/>
  <c r="AG103" i="128"/>
  <c r="AH69" i="128"/>
  <c r="AG50" i="128"/>
  <c r="AI99" i="128"/>
  <c r="AI56" i="128"/>
  <c r="AI66" i="128"/>
  <c r="AH25" i="128"/>
  <c r="T25" i="131" s="1"/>
  <c r="AG113" i="128"/>
  <c r="AG11" i="128"/>
  <c r="Z11" i="128" s="1"/>
  <c r="AG49" i="128"/>
  <c r="Z49" i="128" s="1"/>
  <c r="AH124" i="128"/>
  <c r="AH57" i="128"/>
  <c r="AG48" i="128"/>
  <c r="AG30" i="128"/>
  <c r="Z30" i="128" s="1"/>
  <c r="AH64" i="128"/>
  <c r="AI67" i="128"/>
  <c r="AI92" i="128"/>
  <c r="AI58" i="128"/>
  <c r="AH119" i="128"/>
  <c r="AR78" i="128"/>
  <c r="AR76" i="128"/>
  <c r="AR102" i="128"/>
  <c r="AR110" i="128"/>
  <c r="AR116" i="128"/>
  <c r="AP17" i="128"/>
  <c r="AP27" i="128"/>
  <c r="BJ106" i="128"/>
  <c r="BJ98" i="128"/>
  <c r="BJ122" i="128"/>
  <c r="BJ102" i="128"/>
  <c r="BJ61" i="128"/>
  <c r="BJ81" i="128"/>
  <c r="BJ72" i="128"/>
  <c r="BJ127" i="128"/>
  <c r="BJ103" i="128"/>
  <c r="BJ85" i="128"/>
  <c r="BJ125" i="128"/>
  <c r="BJ126" i="128"/>
  <c r="BJ67" i="128"/>
  <c r="BJ78" i="128"/>
  <c r="BJ123" i="128"/>
  <c r="BJ100" i="128"/>
  <c r="BJ76" i="128"/>
  <c r="BJ56" i="128"/>
  <c r="BJ124" i="128"/>
  <c r="BJ92" i="128"/>
  <c r="BJ58" i="128"/>
  <c r="AI16" i="128"/>
  <c r="BA115" i="128"/>
  <c r="AZ63" i="128"/>
  <c r="AY109" i="128"/>
  <c r="AB109" i="128" s="1"/>
  <c r="BA62" i="128"/>
  <c r="AZ104" i="128"/>
  <c r="AY95" i="128"/>
  <c r="AB95" i="128" s="1"/>
  <c r="AY110" i="128"/>
  <c r="AB110" i="128" s="1"/>
  <c r="AY57" i="128"/>
  <c r="AB57" i="128" s="1"/>
  <c r="BA118" i="128"/>
  <c r="AZ94" i="128"/>
  <c r="AY91" i="128"/>
  <c r="AB91" i="128" s="1"/>
  <c r="CB12" i="128"/>
  <c r="AR68" i="128"/>
  <c r="AR130" i="128"/>
  <c r="AR114" i="128"/>
  <c r="AR79" i="128"/>
  <c r="AR113" i="128"/>
  <c r="AR118" i="128"/>
  <c r="AR63" i="128"/>
  <c r="AR72" i="128"/>
  <c r="AR97" i="128"/>
  <c r="AR55" i="128"/>
  <c r="AR71" i="128"/>
  <c r="AR95" i="128"/>
  <c r="AR61" i="128"/>
  <c r="AR122" i="128"/>
  <c r="AR121" i="128"/>
  <c r="AR83" i="128"/>
  <c r="AR108" i="128"/>
  <c r="AR65" i="128"/>
  <c r="AR94" i="128"/>
  <c r="AR96" i="128"/>
  <c r="AR75" i="128"/>
  <c r="AR128" i="128"/>
  <c r="BQ108" i="128"/>
  <c r="AD108" i="128" s="1"/>
  <c r="BS108" i="128"/>
  <c r="BS109" i="128"/>
  <c r="BQ112" i="128"/>
  <c r="AD112" i="128" s="1"/>
  <c r="BQ92" i="128"/>
  <c r="AD92" i="128" s="1"/>
  <c r="BQ123" i="128"/>
  <c r="AD123" i="128" s="1"/>
  <c r="AI40" i="128"/>
  <c r="AH48" i="128"/>
  <c r="AH44" i="128"/>
  <c r="AG10" i="128"/>
  <c r="AI52" i="128"/>
  <c r="AI46" i="128"/>
  <c r="U46" i="131" s="1"/>
  <c r="AI44" i="128"/>
  <c r="AH36" i="128"/>
  <c r="AI41" i="128"/>
  <c r="U41" i="131" s="1"/>
  <c r="BH41" i="128"/>
  <c r="AY121" i="128"/>
  <c r="AB121" i="128" s="1"/>
  <c r="AY82" i="128"/>
  <c r="AB82" i="128" s="1"/>
  <c r="AY92" i="128"/>
  <c r="AB92" i="128" s="1"/>
  <c r="AY126" i="128"/>
  <c r="AB126" i="128" s="1"/>
  <c r="BA57" i="128"/>
  <c r="AY79" i="128"/>
  <c r="AB79" i="128" s="1"/>
  <c r="BA59" i="128"/>
  <c r="AZ56" i="128"/>
  <c r="BA87" i="128"/>
  <c r="AY103" i="128"/>
  <c r="AB103" i="128" s="1"/>
  <c r="AY60" i="128"/>
  <c r="AB60" i="128" s="1"/>
  <c r="AY94" i="128"/>
  <c r="AB94" i="128" s="1"/>
  <c r="AY89" i="128"/>
  <c r="AB89" i="128" s="1"/>
  <c r="BA81" i="128"/>
  <c r="BA110" i="128"/>
  <c r="AY122" i="128"/>
  <c r="AB122" i="128" s="1"/>
  <c r="AY62" i="128"/>
  <c r="AB62" i="128" s="1"/>
  <c r="AY88" i="128"/>
  <c r="AB88" i="128" s="1"/>
  <c r="AY70" i="128"/>
  <c r="AB70" i="128" s="1"/>
  <c r="AZ119" i="128"/>
  <c r="AZ82" i="128"/>
  <c r="AZ111" i="128"/>
  <c r="BA84" i="128"/>
  <c r="AY68" i="128"/>
  <c r="AB68" i="128" s="1"/>
  <c r="AY125" i="128"/>
  <c r="AB125" i="128" s="1"/>
  <c r="AY54" i="128"/>
  <c r="AB54" i="128" s="1"/>
  <c r="BA113" i="128"/>
  <c r="AY86" i="128"/>
  <c r="AB86" i="128" s="1"/>
  <c r="BA104" i="128"/>
  <c r="AY85" i="128"/>
  <c r="AB85" i="128" s="1"/>
  <c r="AY69" i="128"/>
  <c r="AB69" i="128" s="1"/>
  <c r="BA103" i="128"/>
  <c r="AY63" i="128"/>
  <c r="AB63" i="128" s="1"/>
  <c r="BA108" i="128"/>
  <c r="AZ60" i="128"/>
  <c r="BA107" i="128"/>
  <c r="BA94" i="128"/>
  <c r="AZ127" i="128"/>
  <c r="AZ72" i="128"/>
  <c r="BA112" i="128"/>
  <c r="AZ130" i="128"/>
  <c r="AY97" i="128"/>
  <c r="AB97" i="128" s="1"/>
  <c r="AZ122" i="128"/>
  <c r="AZ98" i="128"/>
  <c r="AZ62" i="128"/>
  <c r="BA123" i="128"/>
  <c r="AZ106" i="128"/>
  <c r="AY75" i="128"/>
  <c r="AB75" i="128" s="1"/>
  <c r="AZ115" i="128"/>
  <c r="AY119" i="128"/>
  <c r="AB119" i="128" s="1"/>
  <c r="BA82" i="128"/>
  <c r="BA111" i="128"/>
  <c r="BA126" i="128"/>
  <c r="BA125" i="128"/>
  <c r="BA54" i="128"/>
  <c r="BA66" i="128"/>
  <c r="AY104" i="128"/>
  <c r="AB104" i="128" s="1"/>
  <c r="BA69" i="128"/>
  <c r="BA63" i="128"/>
  <c r="BA65" i="128"/>
  <c r="BA93" i="128"/>
  <c r="AY72" i="128"/>
  <c r="AB72" i="128" s="1"/>
  <c r="AY112" i="128"/>
  <c r="AB112" i="128" s="1"/>
  <c r="AY130" i="128"/>
  <c r="AB130" i="128" s="1"/>
  <c r="BA122" i="128"/>
  <c r="AY100" i="128"/>
  <c r="AB100" i="128" s="1"/>
  <c r="BA88" i="128"/>
  <c r="AY128" i="128"/>
  <c r="AB128" i="128" s="1"/>
  <c r="BA119" i="128"/>
  <c r="BA58" i="128"/>
  <c r="AY111" i="128"/>
  <c r="AB111" i="128" s="1"/>
  <c r="BA64" i="128"/>
  <c r="BA68" i="128"/>
  <c r="BA124" i="128"/>
  <c r="BA105" i="128"/>
  <c r="AY116" i="128"/>
  <c r="AB116" i="128" s="1"/>
  <c r="AZ86" i="128"/>
  <c r="BA99" i="128"/>
  <c r="AY118" i="128"/>
  <c r="AB118" i="128" s="1"/>
  <c r="AZ69" i="128"/>
  <c r="AY55" i="128"/>
  <c r="AB55" i="128" s="1"/>
  <c r="BA71" i="128"/>
  <c r="BA120" i="128"/>
  <c r="AY65" i="128"/>
  <c r="AB65" i="128" s="1"/>
  <c r="AZ107" i="128"/>
  <c r="AZ93" i="128"/>
  <c r="BA95" i="128"/>
  <c r="BA96" i="128"/>
  <c r="AZ112" i="128"/>
  <c r="BA130" i="128"/>
  <c r="BA97" i="128"/>
  <c r="BA76" i="128"/>
  <c r="BA98" i="128"/>
  <c r="BA100" i="128"/>
  <c r="AZ123" i="128"/>
  <c r="AY78" i="128"/>
  <c r="AB78" i="128" s="1"/>
  <c r="BA75" i="128"/>
  <c r="AZ128" i="128"/>
  <c r="AY80" i="128"/>
  <c r="AB80" i="128" s="1"/>
  <c r="AY58" i="128"/>
  <c r="AB58" i="128" s="1"/>
  <c r="BA67" i="128"/>
  <c r="BA77" i="128"/>
  <c r="BA73" i="128"/>
  <c r="AY113" i="128"/>
  <c r="AB113" i="128" s="1"/>
  <c r="BA86" i="128"/>
  <c r="AY99" i="128"/>
  <c r="AB99" i="128" s="1"/>
  <c r="AY83" i="128"/>
  <c r="AB83" i="128" s="1"/>
  <c r="AY71" i="128"/>
  <c r="AB71" i="128" s="1"/>
  <c r="AY101" i="128"/>
  <c r="AB101" i="128" s="1"/>
  <c r="BA127" i="128"/>
  <c r="BA72" i="128"/>
  <c r="AY61" i="128"/>
  <c r="AB61" i="128" s="1"/>
  <c r="AY102" i="128"/>
  <c r="AB102" i="128" s="1"/>
  <c r="BA109" i="128"/>
  <c r="AZ129" i="128"/>
  <c r="AY106" i="128"/>
  <c r="AB106" i="128" s="1"/>
  <c r="AY74" i="128"/>
  <c r="AB74" i="128" s="1"/>
  <c r="BA80" i="128"/>
  <c r="AY90" i="128"/>
  <c r="AB90" i="128" s="1"/>
  <c r="AY67" i="128"/>
  <c r="AB67" i="128" s="1"/>
  <c r="AY64" i="128"/>
  <c r="AB64" i="128" s="1"/>
  <c r="BA117" i="128"/>
  <c r="AY124" i="128"/>
  <c r="AB124" i="128" s="1"/>
  <c r="AY105" i="128"/>
  <c r="AB105" i="128" s="1"/>
  <c r="AY59" i="128"/>
  <c r="AB59" i="128" s="1"/>
  <c r="AY56" i="128"/>
  <c r="AB56" i="128" s="1"/>
  <c r="AZ85" i="128"/>
  <c r="AZ87" i="128"/>
  <c r="AZ83" i="128"/>
  <c r="BA55" i="128"/>
  <c r="AZ71" i="128"/>
  <c r="AZ120" i="128"/>
  <c r="AZ65" i="128"/>
  <c r="AY107" i="128"/>
  <c r="AB107" i="128" s="1"/>
  <c r="AY93" i="128"/>
  <c r="AB93" i="128" s="1"/>
  <c r="AZ95" i="128"/>
  <c r="AY81" i="128"/>
  <c r="AB81" i="128" s="1"/>
  <c r="AZ61" i="128"/>
  <c r="AZ102" i="128"/>
  <c r="AZ114" i="128"/>
  <c r="AY76" i="128"/>
  <c r="AB76" i="128" s="1"/>
  <c r="AY98" i="128"/>
  <c r="AB98" i="128" s="1"/>
  <c r="BA129" i="128"/>
  <c r="AZ88" i="128"/>
  <c r="BA70" i="128"/>
  <c r="AY115" i="128"/>
  <c r="AB115" i="128" s="1"/>
  <c r="BA128" i="128"/>
  <c r="AP16" i="128"/>
  <c r="AR39" i="128"/>
  <c r="AR32" i="128"/>
  <c r="AP6" i="128"/>
  <c r="AQ48" i="128"/>
  <c r="AP25" i="128"/>
  <c r="AP29" i="128"/>
  <c r="AP10" i="128"/>
  <c r="AP51" i="128"/>
  <c r="AQ22" i="128"/>
  <c r="AR3" i="128"/>
  <c r="AR8" i="128"/>
  <c r="AP47" i="128"/>
  <c r="AQ46" i="128"/>
  <c r="AR6" i="128"/>
  <c r="AP37" i="128"/>
  <c r="AQ7" i="128"/>
  <c r="AQ26" i="128"/>
  <c r="AP9" i="128"/>
  <c r="AQ25" i="128"/>
  <c r="AQ43" i="128"/>
  <c r="AP15" i="128"/>
  <c r="AQ4" i="128"/>
  <c r="AC4" i="131" s="1"/>
  <c r="AQ47" i="128"/>
  <c r="AP34" i="128"/>
  <c r="AR21" i="128"/>
  <c r="AR44" i="128"/>
  <c r="AR5" i="128"/>
  <c r="AP43" i="128"/>
  <c r="AQ16" i="128"/>
  <c r="AR15" i="128"/>
  <c r="AQ24" i="128"/>
  <c r="AR52" i="128"/>
  <c r="AQ35" i="128"/>
  <c r="AP4" i="128"/>
  <c r="AQ32" i="128"/>
  <c r="AR34" i="128"/>
  <c r="AR41" i="128"/>
  <c r="AQ6" i="128"/>
  <c r="AQ33" i="128"/>
  <c r="AR42" i="128"/>
  <c r="AP33" i="128"/>
  <c r="AQ28" i="128"/>
  <c r="AP24" i="128"/>
  <c r="AQ52" i="128"/>
  <c r="AP8" i="128"/>
  <c r="AR12" i="128"/>
  <c r="AP13" i="128"/>
  <c r="AP11" i="128"/>
  <c r="AR43" i="128"/>
  <c r="AR31" i="128"/>
  <c r="AP52" i="128"/>
  <c r="AR35" i="128"/>
  <c r="AQ14" i="128"/>
  <c r="AQ34" i="128"/>
  <c r="AP41" i="128"/>
  <c r="AP42" i="128"/>
  <c r="AP26" i="128"/>
  <c r="AR33" i="128"/>
  <c r="AR37" i="128"/>
  <c r="BI5" i="128"/>
  <c r="AZ75" i="128"/>
  <c r="BB75" i="128" s="1"/>
  <c r="AZ109" i="128"/>
  <c r="AZ81" i="128"/>
  <c r="AZ101" i="128"/>
  <c r="AZ103" i="128"/>
  <c r="AY66" i="128"/>
  <c r="AB66" i="128" s="1"/>
  <c r="AY77" i="128"/>
  <c r="AB77" i="128" s="1"/>
  <c r="BA121" i="128"/>
  <c r="AY114" i="128"/>
  <c r="AB114" i="128" s="1"/>
  <c r="BA101" i="128"/>
  <c r="BA56" i="128"/>
  <c r="AY84" i="128"/>
  <c r="AB84" i="128" s="1"/>
  <c r="AP12" i="128"/>
  <c r="AQ8" i="128"/>
  <c r="AP23" i="128"/>
  <c r="AP31" i="128"/>
  <c r="AR9" i="128"/>
  <c r="BS29" i="128"/>
  <c r="BA106" i="128"/>
  <c r="BA114" i="128"/>
  <c r="BA89" i="128"/>
  <c r="BA60" i="128"/>
  <c r="AY87" i="128"/>
  <c r="AB87" i="128" s="1"/>
  <c r="AZ113" i="128"/>
  <c r="AZ84" i="128"/>
  <c r="BA78" i="128"/>
  <c r="BA61" i="128"/>
  <c r="AY120" i="128"/>
  <c r="AB120" i="128" s="1"/>
  <c r="BA116" i="128"/>
  <c r="BA90" i="128"/>
  <c r="AY129" i="128"/>
  <c r="AB129" i="128" s="1"/>
  <c r="BA102" i="128"/>
  <c r="AY127" i="128"/>
  <c r="AB127" i="128" s="1"/>
  <c r="AY108" i="128"/>
  <c r="AB108" i="128" s="1"/>
  <c r="BA85" i="128"/>
  <c r="AY73" i="128"/>
  <c r="AB73" i="128" s="1"/>
  <c r="BA92" i="128"/>
  <c r="AY123" i="128"/>
  <c r="AB123" i="128" s="1"/>
  <c r="AY96" i="128"/>
  <c r="AB96" i="128" s="1"/>
  <c r="BA83" i="128"/>
  <c r="BA79" i="128"/>
  <c r="BA91" i="128"/>
  <c r="AZ121" i="128"/>
  <c r="BJ25" i="128"/>
  <c r="AV25" i="131" s="1"/>
  <c r="AI38" i="128"/>
  <c r="AZ10" i="128"/>
  <c r="CA29" i="128"/>
  <c r="AH51" i="128"/>
  <c r="AI43" i="128"/>
  <c r="AH49" i="128"/>
  <c r="AI36" i="128"/>
  <c r="U36" i="131" s="1"/>
  <c r="AI37" i="128"/>
  <c r="AH41" i="128"/>
  <c r="AH40" i="128"/>
  <c r="CA115" i="128"/>
  <c r="AI33" i="128"/>
  <c r="U33" i="131" s="1"/>
  <c r="AI47" i="128"/>
  <c r="AH46" i="128"/>
  <c r="AI51" i="128"/>
  <c r="AH50" i="128"/>
  <c r="AI53" i="128"/>
  <c r="AI49" i="128"/>
  <c r="AH38" i="128"/>
  <c r="AI42" i="128"/>
  <c r="AI34" i="128"/>
  <c r="AI39" i="128"/>
  <c r="AI35" i="128"/>
  <c r="AH43" i="128"/>
  <c r="AI48" i="128"/>
  <c r="AH34" i="128"/>
  <c r="AH47" i="128"/>
  <c r="AI32" i="128"/>
  <c r="AI31" i="128"/>
  <c r="U31" i="131" s="1"/>
  <c r="AH53" i="128"/>
  <c r="AH45" i="128"/>
  <c r="AH30" i="128"/>
  <c r="CA50" i="128"/>
  <c r="CA21" i="128"/>
  <c r="CB49" i="128"/>
  <c r="AQ5" i="128"/>
  <c r="AR74" i="128"/>
  <c r="AR111" i="128"/>
  <c r="AR84" i="128"/>
  <c r="AR73" i="128"/>
  <c r="AR59" i="128"/>
  <c r="AR69" i="128"/>
  <c r="AR120" i="128"/>
  <c r="AR60" i="128"/>
  <c r="AR89" i="128"/>
  <c r="AR81" i="128"/>
  <c r="AR112" i="128"/>
  <c r="AR62" i="128"/>
  <c r="AR129" i="128"/>
  <c r="AR88" i="128"/>
  <c r="AR80" i="128"/>
  <c r="AR64" i="128"/>
  <c r="AR86" i="128"/>
  <c r="AR85" i="128"/>
  <c r="AZ25" i="128"/>
  <c r="BA10" i="128"/>
  <c r="BA23" i="128"/>
  <c r="AZ7" i="128"/>
  <c r="AZ26" i="128"/>
  <c r="AZ22" i="128"/>
  <c r="AZ4" i="128"/>
  <c r="AL4" i="131" s="1"/>
  <c r="AZ8" i="128"/>
  <c r="BA47" i="128"/>
  <c r="BA33" i="128"/>
  <c r="BA19" i="128"/>
  <c r="AZ9" i="128"/>
  <c r="AZ44" i="128"/>
  <c r="BA29" i="128"/>
  <c r="BA24" i="128"/>
  <c r="BA22" i="128"/>
  <c r="BA4" i="128"/>
  <c r="AM4" i="131" s="1"/>
  <c r="AZ47" i="128"/>
  <c r="BA14" i="128"/>
  <c r="BA6" i="128"/>
  <c r="BA42" i="128"/>
  <c r="AZ12" i="128"/>
  <c r="AL12" i="131" s="1"/>
  <c r="AZ19" i="128"/>
  <c r="AZ34" i="128"/>
  <c r="BA31" i="128"/>
  <c r="AZ20" i="128"/>
  <c r="AZ37" i="128"/>
  <c r="BA26" i="128"/>
  <c r="AZ42" i="128"/>
  <c r="AR27" i="128"/>
  <c r="AR38" i="128"/>
  <c r="AR36" i="128"/>
  <c r="AD36" i="131" s="1"/>
  <c r="AQ13" i="128"/>
  <c r="AQ11" i="128"/>
  <c r="AP18" i="128"/>
  <c r="AP5" i="128"/>
  <c r="AR29" i="128"/>
  <c r="AR24" i="128"/>
  <c r="AQ51" i="128"/>
  <c r="AP3" i="128"/>
  <c r="AR14" i="128"/>
  <c r="AD14" i="131" s="1"/>
  <c r="AQ41" i="128"/>
  <c r="AQ42" i="128"/>
  <c r="AP30" i="128"/>
  <c r="AP48" i="128"/>
  <c r="AP21" i="128"/>
  <c r="AR13" i="128"/>
  <c r="AR11" i="128"/>
  <c r="AQ18" i="128"/>
  <c r="AR45" i="128"/>
  <c r="AP28" i="128"/>
  <c r="AR50" i="128"/>
  <c r="BJ4" i="128"/>
  <c r="AV4" i="131" s="1"/>
  <c r="BJ32" i="128"/>
  <c r="BI38" i="128"/>
  <c r="BI30" i="128"/>
  <c r="BJ15" i="128"/>
  <c r="BH31" i="128"/>
  <c r="BJ52" i="128"/>
  <c r="BI3" i="128"/>
  <c r="BJ34" i="128"/>
  <c r="BJ26" i="128"/>
  <c r="BI33" i="128"/>
  <c r="BH12" i="128"/>
  <c r="BI48" i="128"/>
  <c r="BH49" i="128"/>
  <c r="BH45" i="128"/>
  <c r="BI31" i="128"/>
  <c r="BH35" i="128"/>
  <c r="BI41" i="128"/>
  <c r="BJ27" i="128"/>
  <c r="BI28" i="128"/>
  <c r="BI50" i="128"/>
  <c r="BH15" i="128"/>
  <c r="BH51" i="128"/>
  <c r="BI52" i="128"/>
  <c r="BH4" i="128"/>
  <c r="BI32" i="128"/>
  <c r="BJ14" i="128"/>
  <c r="BI34" i="128"/>
  <c r="BJ42" i="128"/>
  <c r="BI26" i="128"/>
  <c r="BI19" i="128"/>
  <c r="BJ33" i="128"/>
  <c r="BH40" i="128"/>
  <c r="BI25" i="128"/>
  <c r="BH28" i="128"/>
  <c r="BJ50" i="128"/>
  <c r="BH52" i="128"/>
  <c r="BH34" i="128"/>
  <c r="BI40" i="128"/>
  <c r="BH36" i="128"/>
  <c r="BJ53" i="128"/>
  <c r="BI10" i="128"/>
  <c r="BI35" i="128"/>
  <c r="BH32" i="128"/>
  <c r="BH47" i="128"/>
  <c r="BH46" i="128"/>
  <c r="BH6" i="128"/>
  <c r="BJ37" i="128"/>
  <c r="BJ7" i="128"/>
  <c r="BJ12" i="128"/>
  <c r="BH19" i="128"/>
  <c r="CB30" i="128"/>
  <c r="CA49" i="128"/>
  <c r="CA45" i="128"/>
  <c r="CA52" i="128"/>
  <c r="CB23" i="128"/>
  <c r="CB46" i="128"/>
  <c r="CA41" i="128"/>
  <c r="CB33" i="128"/>
  <c r="CA40" i="128"/>
  <c r="CA30" i="128"/>
  <c r="CA36" i="128"/>
  <c r="CB5" i="128"/>
  <c r="CA28" i="128"/>
  <c r="CB43" i="128"/>
  <c r="CB53" i="128"/>
  <c r="CA51" i="128"/>
  <c r="CA20" i="128"/>
  <c r="CA39" i="128"/>
  <c r="CA14" i="128"/>
  <c r="CB41" i="128"/>
  <c r="CB37" i="128"/>
  <c r="CA26" i="128"/>
  <c r="CA12" i="128"/>
  <c r="CA27" i="128"/>
  <c r="CA13" i="128"/>
  <c r="CA44" i="128"/>
  <c r="CB18" i="128"/>
  <c r="CA25" i="128"/>
  <c r="CB29" i="128"/>
  <c r="CA53" i="128"/>
  <c r="CA15" i="128"/>
  <c r="CA10" i="128"/>
  <c r="CB3" i="128"/>
  <c r="CB47" i="128"/>
  <c r="CB34" i="128"/>
  <c r="CB6" i="128"/>
  <c r="CA9" i="128"/>
  <c r="CA17" i="128"/>
  <c r="CC17" i="128" s="1"/>
  <c r="CB36" i="128"/>
  <c r="CB21" i="128"/>
  <c r="CB13" i="128"/>
  <c r="CB44" i="128"/>
  <c r="CA5" i="128"/>
  <c r="CB28" i="128"/>
  <c r="CA16" i="128"/>
  <c r="CB15" i="128"/>
  <c r="CB10" i="128"/>
  <c r="CB31" i="128"/>
  <c r="CB22" i="128"/>
  <c r="CB4" i="128"/>
  <c r="CA8" i="128"/>
  <c r="CA47" i="128"/>
  <c r="CA37" i="128"/>
  <c r="CA38" i="128"/>
  <c r="CA48" i="128"/>
  <c r="CB45" i="128"/>
  <c r="CB50" i="128"/>
  <c r="CB24" i="128"/>
  <c r="CB35" i="128"/>
  <c r="CA3" i="128"/>
  <c r="CB32" i="128"/>
  <c r="BZ46" i="128"/>
  <c r="AE46" i="128" s="1"/>
  <c r="CB42" i="128"/>
  <c r="CA19" i="128"/>
  <c r="CA7" i="128"/>
  <c r="BZ19" i="128"/>
  <c r="AE19" i="128" s="1"/>
  <c r="Q19" i="131" s="1"/>
  <c r="CB9" i="128"/>
  <c r="CA43" i="128"/>
  <c r="CA22" i="128"/>
  <c r="CB7" i="128"/>
  <c r="CA35" i="128"/>
  <c r="CB39" i="128"/>
  <c r="CA32" i="128"/>
  <c r="CC32" i="128" s="1"/>
  <c r="CB14" i="128"/>
  <c r="CA42" i="128"/>
  <c r="CA33" i="128"/>
  <c r="CB51" i="128"/>
  <c r="CB38" i="128"/>
  <c r="CB40" i="128"/>
  <c r="CB11" i="128"/>
  <c r="CA24" i="128"/>
  <c r="CB52" i="128"/>
  <c r="CA4" i="128"/>
  <c r="CA46" i="128"/>
  <c r="CA6" i="128"/>
  <c r="CB19" i="128"/>
  <c r="CB17" i="128"/>
  <c r="CA11" i="128"/>
  <c r="CB20" i="128"/>
  <c r="CB27" i="128"/>
  <c r="CB48" i="128"/>
  <c r="CB25" i="128"/>
  <c r="CA31" i="128"/>
  <c r="CA34" i="128"/>
  <c r="BQ121" i="128"/>
  <c r="AD121" i="128" s="1"/>
  <c r="BS91" i="128"/>
  <c r="BS90" i="128"/>
  <c r="BS119" i="128"/>
  <c r="BS82" i="128"/>
  <c r="BQ111" i="128"/>
  <c r="AD111" i="128" s="1"/>
  <c r="BQ64" i="128"/>
  <c r="AD64" i="128" s="1"/>
  <c r="BQ68" i="128"/>
  <c r="AD68" i="128" s="1"/>
  <c r="BS125" i="128"/>
  <c r="BR105" i="128"/>
  <c r="BS25" i="128"/>
  <c r="BQ104" i="128"/>
  <c r="AD104" i="128" s="1"/>
  <c r="BQ103" i="128"/>
  <c r="AD103" i="128" s="1"/>
  <c r="BS120" i="128"/>
  <c r="BQ93" i="128"/>
  <c r="AD93" i="128" s="1"/>
  <c r="BS72" i="128"/>
  <c r="BS112" i="128"/>
  <c r="BS102" i="128"/>
  <c r="BQ76" i="128"/>
  <c r="AD76" i="128" s="1"/>
  <c r="BS100" i="128"/>
  <c r="BS106" i="128"/>
  <c r="BQ70" i="128"/>
  <c r="AD70" i="128" s="1"/>
  <c r="BQ74" i="128"/>
  <c r="AD74" i="128" s="1"/>
  <c r="BQ58" i="128"/>
  <c r="AD58" i="128" s="1"/>
  <c r="BQ67" i="128"/>
  <c r="AD67" i="128" s="1"/>
  <c r="BS68" i="128"/>
  <c r="BQ124" i="128"/>
  <c r="AD124" i="128" s="1"/>
  <c r="BS79" i="128"/>
  <c r="BQ18" i="128"/>
  <c r="AD18" i="128" s="1"/>
  <c r="BS66" i="128"/>
  <c r="BR43" i="128"/>
  <c r="BQ85" i="128"/>
  <c r="AD85" i="128" s="1"/>
  <c r="BQ87" i="128"/>
  <c r="AD87" i="128" s="1"/>
  <c r="BS103" i="128"/>
  <c r="BQ71" i="128"/>
  <c r="AD71" i="128" s="1"/>
  <c r="BQ60" i="128"/>
  <c r="AD60" i="128" s="1"/>
  <c r="BS101" i="128"/>
  <c r="BQ22" i="128"/>
  <c r="AD22" i="128" s="1"/>
  <c r="BS95" i="128"/>
  <c r="BQ81" i="128"/>
  <c r="AD81" i="128" s="1"/>
  <c r="BR61" i="128"/>
  <c r="BT61" i="128" s="1"/>
  <c r="BQ102" i="128"/>
  <c r="AD102" i="128" s="1"/>
  <c r="BQ122" i="128"/>
  <c r="AD122" i="128" s="1"/>
  <c r="BQ109" i="128"/>
  <c r="AD109" i="128" s="1"/>
  <c r="BQ100" i="128"/>
  <c r="AD100" i="128" s="1"/>
  <c r="BQ88" i="128"/>
  <c r="AD88" i="128" s="1"/>
  <c r="BS6" i="128"/>
  <c r="BQ80" i="128"/>
  <c r="AD80" i="128" s="1"/>
  <c r="BS67" i="128"/>
  <c r="BQ77" i="128"/>
  <c r="AD77" i="128" s="1"/>
  <c r="BS57" i="128"/>
  <c r="BS113" i="128"/>
  <c r="BQ86" i="128"/>
  <c r="AD86" i="128" s="1"/>
  <c r="BQ83" i="128"/>
  <c r="AD83" i="128" s="1"/>
  <c r="BS60" i="128"/>
  <c r="BQ95" i="128"/>
  <c r="AD95" i="128" s="1"/>
  <c r="BR112" i="128"/>
  <c r="BQ97" i="128"/>
  <c r="AD97" i="128" s="1"/>
  <c r="BS98" i="128"/>
  <c r="BQ106" i="128"/>
  <c r="AD106" i="128" s="1"/>
  <c r="BQ75" i="128"/>
  <c r="AD75" i="128" s="1"/>
  <c r="BS80" i="128"/>
  <c r="BS111" i="128"/>
  <c r="BQ57" i="128"/>
  <c r="AD57" i="128" s="1"/>
  <c r="BS73" i="128"/>
  <c r="BQ105" i="128"/>
  <c r="AD105" i="128" s="1"/>
  <c r="BQ66" i="128"/>
  <c r="AD66" i="128" s="1"/>
  <c r="BS99" i="128"/>
  <c r="BS87" i="128"/>
  <c r="BS55" i="128"/>
  <c r="BQ120" i="128"/>
  <c r="AD120" i="128" s="1"/>
  <c r="BQ101" i="128"/>
  <c r="AD101" i="128" s="1"/>
  <c r="BS93" i="128"/>
  <c r="BQ72" i="128"/>
  <c r="AD72" i="128" s="1"/>
  <c r="BQ61" i="128"/>
  <c r="AD61" i="128" s="1"/>
  <c r="BS97" i="128"/>
  <c r="BS4" i="128"/>
  <c r="BS62" i="128"/>
  <c r="BQ46" i="128"/>
  <c r="AD46" i="128" s="1"/>
  <c r="BS115" i="128"/>
  <c r="BR19" i="128"/>
  <c r="BQ82" i="128"/>
  <c r="AD82" i="128" s="1"/>
  <c r="BS84" i="128"/>
  <c r="BS77" i="128"/>
  <c r="BQ73" i="128"/>
  <c r="AD73" i="128" s="1"/>
  <c r="BQ113" i="128"/>
  <c r="AD113" i="128" s="1"/>
  <c r="BS56" i="128"/>
  <c r="BQ55" i="128"/>
  <c r="AD55" i="128" s="1"/>
  <c r="BS107" i="128"/>
  <c r="BS89" i="128"/>
  <c r="BS61" i="128"/>
  <c r="BQ114" i="128"/>
  <c r="AD114" i="128" s="1"/>
  <c r="BQ62" i="128"/>
  <c r="AD62" i="128" s="1"/>
  <c r="BR14" i="128"/>
  <c r="BT14" i="128" s="1"/>
  <c r="BQ115" i="128"/>
  <c r="AD115" i="128" s="1"/>
  <c r="BQ91" i="128"/>
  <c r="AD91" i="128" s="1"/>
  <c r="BQ84" i="128"/>
  <c r="AD84" i="128" s="1"/>
  <c r="BQ125" i="128"/>
  <c r="AD125" i="128" s="1"/>
  <c r="BR79" i="128"/>
  <c r="BT79" i="128" s="1"/>
  <c r="BS116" i="128"/>
  <c r="BS86" i="128"/>
  <c r="BQ99" i="128"/>
  <c r="AD99" i="128" s="1"/>
  <c r="BQ69" i="128"/>
  <c r="AD69" i="128" s="1"/>
  <c r="BS63" i="128"/>
  <c r="BQ10" i="128"/>
  <c r="AD10" i="128" s="1"/>
  <c r="BR24" i="128"/>
  <c r="BR93" i="128"/>
  <c r="BT93" i="128" s="1"/>
  <c r="BQ96" i="128"/>
  <c r="AD96" i="128" s="1"/>
  <c r="BQ110" i="128"/>
  <c r="AD110" i="128" s="1"/>
  <c r="BR97" i="128"/>
  <c r="BT97" i="128" s="1"/>
  <c r="BS76" i="128"/>
  <c r="BQ129" i="128"/>
  <c r="AD129" i="128" s="1"/>
  <c r="BQ41" i="128"/>
  <c r="AD41" i="128" s="1"/>
  <c r="BR7" i="128"/>
  <c r="BS75" i="128"/>
  <c r="BS121" i="128"/>
  <c r="BS58" i="128"/>
  <c r="BR40" i="128"/>
  <c r="BQ117" i="128"/>
  <c r="AD117" i="128" s="1"/>
  <c r="BQ79" i="128"/>
  <c r="AD79" i="128" s="1"/>
  <c r="BQ116" i="128"/>
  <c r="AD116" i="128" s="1"/>
  <c r="BS85" i="128"/>
  <c r="BS71" i="128"/>
  <c r="BQ94" i="128"/>
  <c r="AD94" i="128" s="1"/>
  <c r="BS96" i="128"/>
  <c r="BS110" i="128"/>
  <c r="BS122" i="128"/>
  <c r="BS123" i="128"/>
  <c r="BQ78" i="128"/>
  <c r="AD78" i="128" s="1"/>
  <c r="BS128" i="128"/>
  <c r="BQ90" i="128"/>
  <c r="AD90" i="128" s="1"/>
  <c r="BS64" i="128"/>
  <c r="BS21" i="128"/>
  <c r="BS54" i="128"/>
  <c r="BQ59" i="128"/>
  <c r="AD59" i="128" s="1"/>
  <c r="BQ56" i="128"/>
  <c r="AD56" i="128" s="1"/>
  <c r="BS118" i="128"/>
  <c r="BS69" i="128"/>
  <c r="BQ63" i="128"/>
  <c r="AD63" i="128" s="1"/>
  <c r="BS65" i="128"/>
  <c r="BQ107" i="128"/>
  <c r="AD107" i="128" s="1"/>
  <c r="BS127" i="128"/>
  <c r="BS20" i="128"/>
  <c r="BS130" i="128"/>
  <c r="BS114" i="128"/>
  <c r="BQ98" i="128"/>
  <c r="AD98" i="128" s="1"/>
  <c r="BS129" i="128"/>
  <c r="BS70" i="128"/>
  <c r="BS12" i="128"/>
  <c r="BS37" i="128"/>
  <c r="AQ21" i="128"/>
  <c r="AR58" i="128"/>
  <c r="AR19" i="128"/>
  <c r="AP7" i="128"/>
  <c r="AR70" i="128"/>
  <c r="AR46" i="128"/>
  <c r="AR123" i="128"/>
  <c r="AR47" i="128"/>
  <c r="AD47" i="131" s="1"/>
  <c r="AR98" i="128"/>
  <c r="AR109" i="128"/>
  <c r="AR4" i="128"/>
  <c r="AD4" i="131" s="1"/>
  <c r="AQ20" i="128"/>
  <c r="AR23" i="128"/>
  <c r="AD23" i="131" s="1"/>
  <c r="AR127" i="128"/>
  <c r="AR22" i="128"/>
  <c r="AR107" i="128"/>
  <c r="AR101" i="128"/>
  <c r="AR10" i="128"/>
  <c r="AR53" i="128"/>
  <c r="AR99" i="128"/>
  <c r="AQ29" i="128"/>
  <c r="AR105" i="128"/>
  <c r="AQ36" i="128"/>
  <c r="AC36" i="131" s="1"/>
  <c r="AR30" i="128"/>
  <c r="AR17" i="128"/>
  <c r="AR92" i="128"/>
  <c r="BJ6" i="128"/>
  <c r="BJ8" i="128"/>
  <c r="BR12" i="128"/>
  <c r="BS8" i="128"/>
  <c r="BQ89" i="128"/>
  <c r="AD89" i="128" s="1"/>
  <c r="BS83" i="128"/>
  <c r="BQ54" i="128"/>
  <c r="AD54" i="128" s="1"/>
  <c r="BS74" i="128"/>
  <c r="BQ130" i="128"/>
  <c r="AD130" i="128" s="1"/>
  <c r="BQ118" i="128"/>
  <c r="AD118" i="128" s="1"/>
  <c r="BQ126" i="128"/>
  <c r="AD126" i="128" s="1"/>
  <c r="CB26" i="128"/>
  <c r="CB8" i="128"/>
  <c r="BA12" i="128"/>
  <c r="AR103" i="128"/>
  <c r="AQ15" i="128"/>
  <c r="AP50" i="128"/>
  <c r="AR104" i="128"/>
  <c r="AR56" i="128"/>
  <c r="AR18" i="128"/>
  <c r="AD18" i="131" s="1"/>
  <c r="AP44" i="128"/>
  <c r="AQ49" i="128"/>
  <c r="AQ30" i="128"/>
  <c r="AR126" i="128"/>
  <c r="AQ17" i="128"/>
  <c r="AQ38" i="128"/>
  <c r="AQ19" i="128"/>
  <c r="AR115" i="128"/>
  <c r="AP14" i="128"/>
  <c r="AQ3" i="128"/>
  <c r="AR20" i="128"/>
  <c r="AQ23" i="128"/>
  <c r="AR51" i="128"/>
  <c r="AQ10" i="128"/>
  <c r="AP53" i="128"/>
  <c r="AP45" i="128"/>
  <c r="AQ44" i="128"/>
  <c r="AC44" i="131" s="1"/>
  <c r="AR57" i="128"/>
  <c r="AR48" i="128"/>
  <c r="AD48" i="131" s="1"/>
  <c r="AQ40" i="128"/>
  <c r="AR67" i="128"/>
  <c r="AQ27" i="128"/>
  <c r="AR91" i="128"/>
  <c r="BI12" i="128"/>
  <c r="BH33" i="128"/>
  <c r="BJ46" i="128"/>
  <c r="BJ23" i="128"/>
  <c r="BJ24" i="128"/>
  <c r="BQ128" i="128"/>
  <c r="AD128" i="128" s="1"/>
  <c r="BR39" i="128"/>
  <c r="BS94" i="128"/>
  <c r="BR118" i="128"/>
  <c r="BS124" i="128"/>
  <c r="BS78" i="128"/>
  <c r="BS81" i="128"/>
  <c r="BS59" i="128"/>
  <c r="BS92" i="128"/>
  <c r="CB16" i="128"/>
  <c r="AR16" i="128"/>
  <c r="AD16" i="131" s="1"/>
  <c r="AR28" i="128"/>
  <c r="AR49" i="128"/>
  <c r="AR125" i="128"/>
  <c r="AP36" i="128"/>
  <c r="AR77" i="128"/>
  <c r="AP40" i="128"/>
  <c r="AR90" i="128"/>
  <c r="AR82" i="128"/>
  <c r="AR119" i="128"/>
  <c r="AQ9" i="128"/>
  <c r="AQ12" i="128"/>
  <c r="AC12" i="131" s="1"/>
  <c r="AR106" i="128"/>
  <c r="AP32" i="128"/>
  <c r="AQ39" i="128"/>
  <c r="AP35" i="128"/>
  <c r="AQ31" i="128"/>
  <c r="AQ50" i="128"/>
  <c r="AR66" i="128"/>
  <c r="AR25" i="128"/>
  <c r="AD25" i="131" s="1"/>
  <c r="AR124" i="128"/>
  <c r="AR117" i="128"/>
  <c r="AR40" i="128"/>
  <c r="AD40" i="131" s="1"/>
  <c r="AP38" i="128"/>
  <c r="BI7" i="128"/>
  <c r="BH37" i="128"/>
  <c r="BJ39" i="128"/>
  <c r="BI20" i="128"/>
  <c r="BI42" i="128"/>
  <c r="BH39" i="128"/>
  <c r="BR115" i="128"/>
  <c r="BR130" i="128"/>
  <c r="BQ65" i="128"/>
  <c r="AD65" i="128" s="1"/>
  <c r="BS104" i="128"/>
  <c r="BS126" i="128"/>
  <c r="BS88" i="128"/>
  <c r="BQ127" i="128"/>
  <c r="AD127" i="128" s="1"/>
  <c r="BS105" i="128"/>
  <c r="BQ119" i="128"/>
  <c r="AD119" i="128" s="1"/>
  <c r="CA23" i="128"/>
  <c r="CA18" i="128"/>
  <c r="CC18" i="128" s="1"/>
  <c r="BA9" i="128"/>
  <c r="BA3" i="128"/>
  <c r="BA20" i="128"/>
  <c r="AZ24" i="128"/>
  <c r="AZ53" i="128"/>
  <c r="AZ16" i="128"/>
  <c r="AZ43" i="128"/>
  <c r="AZ45" i="128"/>
  <c r="BA25" i="128"/>
  <c r="AM25" i="131" s="1"/>
  <c r="AZ18" i="128"/>
  <c r="BA44" i="128"/>
  <c r="AZ17" i="128"/>
  <c r="BA39" i="128"/>
  <c r="AM39" i="131" s="1"/>
  <c r="AZ52" i="128"/>
  <c r="BA51" i="128"/>
  <c r="BA50" i="128"/>
  <c r="AZ28" i="128"/>
  <c r="BA45" i="128"/>
  <c r="BA52" i="128"/>
  <c r="AM52" i="131" s="1"/>
  <c r="AZ50" i="128"/>
  <c r="BA28" i="128"/>
  <c r="AZ49" i="128"/>
  <c r="BA35" i="128"/>
  <c r="AZ105" i="128"/>
  <c r="AZ40" i="128"/>
  <c r="AZ38" i="128"/>
  <c r="AZ41" i="128"/>
  <c r="AZ55" i="128"/>
  <c r="BA15" i="128"/>
  <c r="AZ99" i="128"/>
  <c r="BA49" i="128"/>
  <c r="AZ73" i="128"/>
  <c r="AZ59" i="128"/>
  <c r="BA18" i="128"/>
  <c r="BA11" i="128"/>
  <c r="BA13" i="128"/>
  <c r="AZ117" i="128"/>
  <c r="AZ126" i="128"/>
  <c r="BA7" i="128"/>
  <c r="BA5" i="128"/>
  <c r="AM5" i="131" s="1"/>
  <c r="AZ77" i="128"/>
  <c r="BB77" i="128" s="1"/>
  <c r="AZ90" i="128"/>
  <c r="BA37" i="128"/>
  <c r="BA34" i="128"/>
  <c r="BA8" i="128"/>
  <c r="AZ36" i="128"/>
  <c r="AL36" i="131" s="1"/>
  <c r="AZ66" i="128"/>
  <c r="AZ29" i="128"/>
  <c r="AZ11" i="128"/>
  <c r="AZ13" i="128"/>
  <c r="BA48" i="128"/>
  <c r="AZ30" i="128"/>
  <c r="AZ67" i="128"/>
  <c r="AZ92" i="128"/>
  <c r="AZ58" i="128"/>
  <c r="AZ80" i="128"/>
  <c r="AZ33" i="128"/>
  <c r="AZ70" i="128"/>
  <c r="BB70" i="128" s="1"/>
  <c r="AZ46" i="128"/>
  <c r="AZ100" i="128"/>
  <c r="BA32" i="128"/>
  <c r="AZ3" i="128"/>
  <c r="AZ110" i="128"/>
  <c r="AZ23" i="128"/>
  <c r="AZ51" i="128"/>
  <c r="BA53" i="128"/>
  <c r="AZ116" i="128"/>
  <c r="BA21" i="128"/>
  <c r="AZ57" i="128"/>
  <c r="AZ48" i="128"/>
  <c r="AZ78" i="128"/>
  <c r="AZ14" i="128"/>
  <c r="AZ39" i="128"/>
  <c r="AL39" i="131" s="1"/>
  <c r="AZ97" i="128"/>
  <c r="AZ35" i="128"/>
  <c r="AZ96" i="128"/>
  <c r="BB96" i="128" s="1"/>
  <c r="AZ89" i="128"/>
  <c r="AZ31" i="128"/>
  <c r="BA16" i="128"/>
  <c r="BA43" i="128"/>
  <c r="AZ5" i="128"/>
  <c r="AZ54" i="128"/>
  <c r="AZ21" i="128"/>
  <c r="BA27" i="128"/>
  <c r="AZ79" i="128"/>
  <c r="BA36" i="128"/>
  <c r="AM36" i="131" s="1"/>
  <c r="AZ68" i="128"/>
  <c r="AZ64" i="128"/>
  <c r="BB64" i="128" s="1"/>
  <c r="BA40" i="128"/>
  <c r="AZ6" i="128"/>
  <c r="BA41" i="128"/>
  <c r="BA46" i="128"/>
  <c r="AZ32" i="128"/>
  <c r="AZ76" i="128"/>
  <c r="AZ108" i="128"/>
  <c r="AZ15" i="128"/>
  <c r="AZ118" i="128"/>
  <c r="AZ124" i="128"/>
  <c r="AZ125" i="128"/>
  <c r="BB125" i="128" s="1"/>
  <c r="AZ91" i="128"/>
  <c r="AZ74" i="128"/>
  <c r="BQ6" i="128"/>
  <c r="AD6" i="128" s="1"/>
  <c r="CA91" i="128"/>
  <c r="CA82" i="128"/>
  <c r="CC82" i="128" s="1"/>
  <c r="CA90" i="128"/>
  <c r="CC90" i="128" s="1"/>
  <c r="CA113" i="128"/>
  <c r="CA120" i="128"/>
  <c r="CA102" i="128"/>
  <c r="CA116" i="128"/>
  <c r="CA55" i="128"/>
  <c r="CC55" i="128" s="1"/>
  <c r="CA67" i="128"/>
  <c r="CA88" i="128"/>
  <c r="CA117" i="128"/>
  <c r="CA109" i="128"/>
  <c r="CA79" i="128"/>
  <c r="CA59" i="128"/>
  <c r="CA85" i="128"/>
  <c r="CA60" i="128"/>
  <c r="CC60" i="128" s="1"/>
  <c r="BZ44" i="128"/>
  <c r="AE44" i="128" s="1"/>
  <c r="BZ18" i="128"/>
  <c r="AE18" i="128" s="1"/>
  <c r="BZ28" i="128"/>
  <c r="AE28" i="128" s="1"/>
  <c r="BZ15" i="128"/>
  <c r="AE15" i="128" s="1"/>
  <c r="BZ22" i="128"/>
  <c r="AE22" i="128" s="1"/>
  <c r="BZ11" i="128"/>
  <c r="AE11" i="128" s="1"/>
  <c r="BZ29" i="128"/>
  <c r="AE29" i="128" s="1"/>
  <c r="BZ50" i="128"/>
  <c r="AE50" i="128" s="1"/>
  <c r="BZ48" i="128"/>
  <c r="AE48" i="128" s="1"/>
  <c r="BZ53" i="128"/>
  <c r="AE53" i="128" s="1"/>
  <c r="BZ3" i="128"/>
  <c r="AE3" i="128" s="1"/>
  <c r="BZ8" i="128"/>
  <c r="AE8" i="128" s="1"/>
  <c r="BI27" i="128"/>
  <c r="BH17" i="128"/>
  <c r="BH30" i="128"/>
  <c r="BJ36" i="128"/>
  <c r="AV36" i="131" s="1"/>
  <c r="BH13" i="128"/>
  <c r="BJ44" i="128"/>
  <c r="BJ29" i="128"/>
  <c r="BH53" i="128"/>
  <c r="BI15" i="128"/>
  <c r="BH24" i="128"/>
  <c r="BI51" i="128"/>
  <c r="BJ20" i="128"/>
  <c r="AV20" i="131" s="1"/>
  <c r="BI39" i="128"/>
  <c r="BI47" i="128"/>
  <c r="BI14" i="128"/>
  <c r="BI37" i="128"/>
  <c r="BJ19" i="128"/>
  <c r="AV19" i="131" s="1"/>
  <c r="BI17" i="128"/>
  <c r="BJ40" i="128"/>
  <c r="AV40" i="131" s="1"/>
  <c r="BI49" i="128"/>
  <c r="BH44" i="128"/>
  <c r="BJ18" i="128"/>
  <c r="AV18" i="131" s="1"/>
  <c r="BH5" i="128"/>
  <c r="BH43" i="128"/>
  <c r="BJ9" i="128"/>
  <c r="BI36" i="128"/>
  <c r="BH21" i="128"/>
  <c r="BJ13" i="128"/>
  <c r="BI44" i="128"/>
  <c r="BH18" i="128"/>
  <c r="BI29" i="128"/>
  <c r="BI43" i="128"/>
  <c r="BJ16" i="128"/>
  <c r="BI24" i="128"/>
  <c r="BH22" i="128"/>
  <c r="BH23" i="128"/>
  <c r="BH20" i="128"/>
  <c r="BJ3" i="128"/>
  <c r="BJ47" i="128"/>
  <c r="BH14" i="128"/>
  <c r="BI6" i="128"/>
  <c r="BH26" i="128"/>
  <c r="BH9" i="128"/>
  <c r="BJ17" i="128"/>
  <c r="BH48" i="128"/>
  <c r="BJ49" i="128"/>
  <c r="BJ11" i="128"/>
  <c r="BI18" i="128"/>
  <c r="BJ5" i="128"/>
  <c r="BI45" i="128"/>
  <c r="BJ43" i="128"/>
  <c r="BH16" i="128"/>
  <c r="BI53" i="128"/>
  <c r="BJ10" i="128"/>
  <c r="BJ51" i="128"/>
  <c r="BJ22" i="128"/>
  <c r="BI23" i="128"/>
  <c r="BJ35" i="128"/>
  <c r="BH3" i="128"/>
  <c r="BH8" i="128"/>
  <c r="BI9" i="128"/>
  <c r="BJ38" i="128"/>
  <c r="BI21" i="128"/>
  <c r="BH11" i="128"/>
  <c r="BH25" i="128"/>
  <c r="BJ45" i="128"/>
  <c r="BJ28" i="128"/>
  <c r="BH50" i="128"/>
  <c r="BH10" i="128"/>
  <c r="BJ31" i="128"/>
  <c r="BI22" i="128"/>
  <c r="BI4" i="128"/>
  <c r="BI8" i="128"/>
  <c r="BI46" i="128"/>
  <c r="BJ41" i="128"/>
  <c r="AV41" i="131" s="1"/>
  <c r="BH42" i="128"/>
  <c r="BH7" i="128"/>
  <c r="BH27" i="128"/>
  <c r="BH38" i="128"/>
  <c r="BJ30" i="128"/>
  <c r="BJ48" i="128"/>
  <c r="BJ21" i="128"/>
  <c r="BI13" i="128"/>
  <c r="BI11" i="128"/>
  <c r="BH29" i="128"/>
  <c r="BI16" i="128"/>
  <c r="BR90" i="128"/>
  <c r="BR96" i="128"/>
  <c r="BR121" i="128"/>
  <c r="BR82" i="128"/>
  <c r="BR77" i="128"/>
  <c r="BR125" i="128"/>
  <c r="BR113" i="128"/>
  <c r="BR104" i="128"/>
  <c r="BR108" i="128"/>
  <c r="BT108" i="128" s="1"/>
  <c r="BR107" i="128"/>
  <c r="BR102" i="128"/>
  <c r="BR100" i="128"/>
  <c r="BR106" i="128"/>
  <c r="BR75" i="128"/>
  <c r="BR128" i="128"/>
  <c r="BR69" i="128"/>
  <c r="BR119" i="128"/>
  <c r="BR86" i="128"/>
  <c r="BT86" i="128" s="1"/>
  <c r="BR60" i="128"/>
  <c r="BR94" i="128"/>
  <c r="BR127" i="128"/>
  <c r="BR89" i="128"/>
  <c r="BR110" i="128"/>
  <c r="BR114" i="128"/>
  <c r="BT114" i="128" s="1"/>
  <c r="BR76" i="128"/>
  <c r="BR62" i="128"/>
  <c r="BR123" i="128"/>
  <c r="BR73" i="128"/>
  <c r="BR99" i="128"/>
  <c r="BR81" i="128"/>
  <c r="BR92" i="128"/>
  <c r="BR84" i="128"/>
  <c r="BR64" i="128"/>
  <c r="BR68" i="128"/>
  <c r="BR117" i="128"/>
  <c r="BR116" i="128"/>
  <c r="BR55" i="128"/>
  <c r="BR71" i="128"/>
  <c r="BR95" i="128"/>
  <c r="BR78" i="128"/>
  <c r="BR70" i="128"/>
  <c r="AY11" i="128"/>
  <c r="AY10" i="128"/>
  <c r="AY47" i="128"/>
  <c r="AY30" i="128"/>
  <c r="AY39" i="128"/>
  <c r="AY4" i="128"/>
  <c r="AY32" i="128"/>
  <c r="AY25" i="128"/>
  <c r="AY40" i="128"/>
  <c r="AY49" i="128"/>
  <c r="AY13" i="128"/>
  <c r="AY46" i="128"/>
  <c r="AY33" i="128"/>
  <c r="BR13" i="128"/>
  <c r="BR10" i="128"/>
  <c r="BR4" i="128"/>
  <c r="BQ34" i="128"/>
  <c r="AD34" i="128" s="1"/>
  <c r="BQ19" i="128"/>
  <c r="AD19" i="128" s="1"/>
  <c r="BR38" i="128"/>
  <c r="BS40" i="128"/>
  <c r="BQ36" i="128"/>
  <c r="AD36" i="128" s="1"/>
  <c r="P36" i="131" s="1"/>
  <c r="BQ44" i="128"/>
  <c r="AD44" i="128" s="1"/>
  <c r="BQ25" i="128"/>
  <c r="AD25" i="128" s="1"/>
  <c r="P25" i="131" s="1"/>
  <c r="BS28" i="128"/>
  <c r="BS16" i="128"/>
  <c r="BR50" i="128"/>
  <c r="BQ31" i="128"/>
  <c r="AD31" i="128" s="1"/>
  <c r="BS52" i="128"/>
  <c r="BQ23" i="128"/>
  <c r="AD23" i="128" s="1"/>
  <c r="BQ20" i="128"/>
  <c r="AD20" i="128" s="1"/>
  <c r="BS39" i="128"/>
  <c r="BQ4" i="128"/>
  <c r="AD4" i="128" s="1"/>
  <c r="P4" i="131" s="1"/>
  <c r="BR32" i="128"/>
  <c r="BQ8" i="128"/>
  <c r="AD8" i="128" s="1"/>
  <c r="BR34" i="128"/>
  <c r="BR41" i="128"/>
  <c r="BS33" i="128"/>
  <c r="BQ37" i="128"/>
  <c r="AD37" i="128" s="1"/>
  <c r="BR17" i="128"/>
  <c r="BR44" i="128"/>
  <c r="BQ45" i="128"/>
  <c r="AD45" i="128" s="1"/>
  <c r="BQ52" i="128"/>
  <c r="AD52" i="128" s="1"/>
  <c r="BR9" i="128"/>
  <c r="BQ17" i="128"/>
  <c r="AD17" i="128" s="1"/>
  <c r="BQ30" i="128"/>
  <c r="AD30" i="128" s="1"/>
  <c r="BS36" i="128"/>
  <c r="BR49" i="128"/>
  <c r="BR11" i="128"/>
  <c r="BR5" i="128"/>
  <c r="BR28" i="128"/>
  <c r="BQ15" i="128"/>
  <c r="AD15" i="128" s="1"/>
  <c r="BS31" i="128"/>
  <c r="BR52" i="128"/>
  <c r="BS3" i="128"/>
  <c r="BS32" i="128"/>
  <c r="BQ47" i="128"/>
  <c r="AD47" i="128" s="1"/>
  <c r="BQ14" i="128"/>
  <c r="AD14" i="128" s="1"/>
  <c r="BS34" i="128"/>
  <c r="BS42" i="128"/>
  <c r="BQ26" i="128"/>
  <c r="AD26" i="128" s="1"/>
  <c r="BR33" i="128"/>
  <c r="BQ42" i="128"/>
  <c r="AD42" i="128" s="1"/>
  <c r="BR26" i="128"/>
  <c r="BT26" i="128" s="1"/>
  <c r="BQ28" i="128"/>
  <c r="AD28" i="128" s="1"/>
  <c r="BQ24" i="128"/>
  <c r="AD24" i="128" s="1"/>
  <c r="BS26" i="128"/>
  <c r="BR27" i="128"/>
  <c r="BR21" i="128"/>
  <c r="BR45" i="128"/>
  <c r="BS15" i="128"/>
  <c r="BS10" i="128"/>
  <c r="BS24" i="128"/>
  <c r="BQ51" i="128"/>
  <c r="AD51" i="128" s="1"/>
  <c r="BS35" i="128"/>
  <c r="BR3" i="128"/>
  <c r="BS47" i="128"/>
  <c r="BS14" i="128"/>
  <c r="BR37" i="128"/>
  <c r="BQ7" i="128"/>
  <c r="AD7" i="128" s="1"/>
  <c r="BQ12" i="128"/>
  <c r="BS19" i="128"/>
  <c r="BR42" i="128"/>
  <c r="BQ33" i="128"/>
  <c r="AD33" i="128" s="1"/>
  <c r="BZ4" i="128"/>
  <c r="AE4" i="128" s="1"/>
  <c r="Q4" i="131" s="1"/>
  <c r="BQ32" i="128"/>
  <c r="AD32" i="128" s="1"/>
  <c r="AY28" i="128"/>
  <c r="BZ38" i="128"/>
  <c r="AE38" i="128" s="1"/>
  <c r="AY18" i="128"/>
  <c r="BQ9" i="128"/>
  <c r="AD9" i="128" s="1"/>
  <c r="P9" i="131" s="1"/>
  <c r="BQ48" i="128"/>
  <c r="AD48" i="128" s="1"/>
  <c r="BS41" i="128"/>
  <c r="BR46" i="128"/>
  <c r="BR129" i="128"/>
  <c r="BR8" i="128"/>
  <c r="BQ3" i="128"/>
  <c r="AD3" i="128" s="1"/>
  <c r="BR20" i="128"/>
  <c r="BT20" i="128" s="1"/>
  <c r="BR22" i="128"/>
  <c r="BR51" i="128"/>
  <c r="BR101" i="128"/>
  <c r="BR63" i="128"/>
  <c r="BR83" i="128"/>
  <c r="BR87" i="128"/>
  <c r="BQ53" i="128"/>
  <c r="AD53" i="128" s="1"/>
  <c r="BR85" i="128"/>
  <c r="BR56" i="128"/>
  <c r="BR29" i="128"/>
  <c r="BR59" i="128"/>
  <c r="BS44" i="128"/>
  <c r="BS49" i="128"/>
  <c r="BR57" i="128"/>
  <c r="BR36" i="128"/>
  <c r="BT36" i="128" s="1"/>
  <c r="BS30" i="128"/>
  <c r="BQ40" i="128"/>
  <c r="AD40" i="128" s="1"/>
  <c r="P40" i="131" s="1"/>
  <c r="BS38" i="128"/>
  <c r="BS27" i="128"/>
  <c r="BR74" i="128"/>
  <c r="BZ42" i="128"/>
  <c r="AE42" i="128" s="1"/>
  <c r="BZ41" i="128"/>
  <c r="AE41" i="128" s="1"/>
  <c r="CA122" i="128"/>
  <c r="CC122" i="128" s="1"/>
  <c r="CA110" i="128"/>
  <c r="CA96" i="128"/>
  <c r="CA89" i="128"/>
  <c r="CA93" i="128"/>
  <c r="CA107" i="128"/>
  <c r="CA65" i="128"/>
  <c r="BZ10" i="128"/>
  <c r="AE10" i="128" s="1"/>
  <c r="CA86" i="128"/>
  <c r="CA54" i="128"/>
  <c r="CC54" i="128" s="1"/>
  <c r="CA124" i="128"/>
  <c r="CA57" i="128"/>
  <c r="CA68" i="128"/>
  <c r="CA58" i="128"/>
  <c r="BZ33" i="128"/>
  <c r="AE33" i="128" s="1"/>
  <c r="BZ14" i="128"/>
  <c r="AE14" i="128" s="1"/>
  <c r="CA123" i="128"/>
  <c r="CA100" i="128"/>
  <c r="CA76" i="128"/>
  <c r="CA97" i="128"/>
  <c r="CA130" i="128"/>
  <c r="CA112" i="128"/>
  <c r="BZ35" i="128"/>
  <c r="AE35" i="128" s="1"/>
  <c r="BZ23" i="128"/>
  <c r="AE23" i="128" s="1"/>
  <c r="BZ24" i="128"/>
  <c r="AE24" i="128" s="1"/>
  <c r="CA108" i="128"/>
  <c r="CC108" i="128" s="1"/>
  <c r="CA63" i="128"/>
  <c r="CA83" i="128"/>
  <c r="CA118" i="128"/>
  <c r="CC118" i="128" s="1"/>
  <c r="CA104" i="128"/>
  <c r="CA66" i="128"/>
  <c r="BZ49" i="128"/>
  <c r="AE49" i="128" s="1"/>
  <c r="Q49" i="131" s="1"/>
  <c r="CA73" i="128"/>
  <c r="CA126" i="128"/>
  <c r="CC126" i="128" s="1"/>
  <c r="BZ17" i="128"/>
  <c r="AE17" i="128" s="1"/>
  <c r="CA111" i="128"/>
  <c r="CA80" i="128"/>
  <c r="CA74" i="128"/>
  <c r="AY26" i="128"/>
  <c r="AY41" i="128"/>
  <c r="AY14" i="128"/>
  <c r="AY51" i="128"/>
  <c r="AY21" i="128"/>
  <c r="AY27" i="128"/>
  <c r="AY52" i="128"/>
  <c r="AY50" i="128"/>
  <c r="AY44" i="128"/>
  <c r="AY38" i="128"/>
  <c r="BQ13" i="128"/>
  <c r="AD13" i="128" s="1"/>
  <c r="P13" i="131" s="1"/>
  <c r="BR67" i="128"/>
  <c r="BR58" i="128"/>
  <c r="BR80" i="128"/>
  <c r="BT80" i="128" s="1"/>
  <c r="BS7" i="128"/>
  <c r="BR6" i="128"/>
  <c r="BS46" i="128"/>
  <c r="BR47" i="128"/>
  <c r="BR109" i="128"/>
  <c r="BQ39" i="128"/>
  <c r="AD39" i="128" s="1"/>
  <c r="BQ35" i="128"/>
  <c r="AD35" i="128" s="1"/>
  <c r="BS23" i="128"/>
  <c r="BR72" i="128"/>
  <c r="BS22" i="128"/>
  <c r="BS51" i="128"/>
  <c r="BR65" i="128"/>
  <c r="BR120" i="128"/>
  <c r="BQ50" i="128"/>
  <c r="AD50" i="128" s="1"/>
  <c r="BS53" i="128"/>
  <c r="BR16" i="128"/>
  <c r="BT16" i="128" s="1"/>
  <c r="BS43" i="128"/>
  <c r="BQ29" i="128"/>
  <c r="AD29" i="128" s="1"/>
  <c r="BQ5" i="128"/>
  <c r="AD5" i="128" s="1"/>
  <c r="BS18" i="128"/>
  <c r="BS11" i="128"/>
  <c r="BR54" i="128"/>
  <c r="BT54" i="128" s="1"/>
  <c r="BQ49" i="128"/>
  <c r="AD49" i="128" s="1"/>
  <c r="BR124" i="128"/>
  <c r="BR48" i="128"/>
  <c r="BR30" i="128"/>
  <c r="BR126" i="128"/>
  <c r="BQ38" i="128"/>
  <c r="AD38" i="128" s="1"/>
  <c r="BQ27" i="128"/>
  <c r="AD27" i="128" s="1"/>
  <c r="P27" i="131" s="1"/>
  <c r="BR91" i="128"/>
  <c r="BS9" i="128"/>
  <c r="BZ12" i="128"/>
  <c r="AE12" i="128" s="1"/>
  <c r="Q12" i="131" s="1"/>
  <c r="BZ7" i="128"/>
  <c r="AE7" i="128" s="1"/>
  <c r="CA78" i="128"/>
  <c r="CA62" i="128"/>
  <c r="CA114" i="128"/>
  <c r="CA61" i="128"/>
  <c r="CA71" i="128"/>
  <c r="CA69" i="128"/>
  <c r="BZ16" i="128"/>
  <c r="AE16" i="128" s="1"/>
  <c r="Q16" i="131" s="1"/>
  <c r="BZ13" i="128"/>
  <c r="AE13" i="128" s="1"/>
  <c r="CA119" i="128"/>
  <c r="BZ9" i="128"/>
  <c r="AE9" i="128" s="1"/>
  <c r="BZ6" i="128"/>
  <c r="AE6" i="128" s="1"/>
  <c r="BZ34" i="128"/>
  <c r="AE34" i="128" s="1"/>
  <c r="CA106" i="128"/>
  <c r="CA129" i="128"/>
  <c r="CC129" i="128" s="1"/>
  <c r="CA98" i="128"/>
  <c r="BZ52" i="128"/>
  <c r="AE52" i="128" s="1"/>
  <c r="BZ51" i="128"/>
  <c r="AE51" i="128" s="1"/>
  <c r="BZ45" i="128"/>
  <c r="AE45" i="128" s="1"/>
  <c r="BZ5" i="128"/>
  <c r="AE5" i="128" s="1"/>
  <c r="CA125" i="128"/>
  <c r="CA92" i="128"/>
  <c r="AY19" i="128"/>
  <c r="AY12" i="128"/>
  <c r="AY42" i="128"/>
  <c r="AY35" i="128"/>
  <c r="AY23" i="128"/>
  <c r="AY15" i="128"/>
  <c r="AY45" i="128"/>
  <c r="AY31" i="128"/>
  <c r="AY16" i="128"/>
  <c r="AY43" i="128"/>
  <c r="AY48" i="128"/>
  <c r="AY9" i="128"/>
  <c r="BR88" i="128"/>
  <c r="BR98" i="128"/>
  <c r="BR122" i="128"/>
  <c r="BT122" i="128" s="1"/>
  <c r="BR35" i="128"/>
  <c r="BR23" i="128"/>
  <c r="BR31" i="128"/>
  <c r="BR103" i="128"/>
  <c r="BR15" i="128"/>
  <c r="BS50" i="128"/>
  <c r="BR53" i="128"/>
  <c r="BQ16" i="128"/>
  <c r="AD16" i="128" s="1"/>
  <c r="BQ43" i="128"/>
  <c r="AD43" i="128" s="1"/>
  <c r="P43" i="131" s="1"/>
  <c r="BR66" i="128"/>
  <c r="BS45" i="128"/>
  <c r="BR25" i="128"/>
  <c r="BS5" i="128"/>
  <c r="BR18" i="128"/>
  <c r="BQ11" i="128"/>
  <c r="AD11" i="128" s="1"/>
  <c r="BS13" i="128"/>
  <c r="BQ21" i="128"/>
  <c r="AD21" i="128" s="1"/>
  <c r="BS48" i="128"/>
  <c r="BS17" i="128"/>
  <c r="BR111" i="128"/>
  <c r="BZ26" i="128"/>
  <c r="AE26" i="128" s="1"/>
  <c r="Q26" i="131" s="1"/>
  <c r="CA75" i="128"/>
  <c r="CA70" i="128"/>
  <c r="BZ47" i="128"/>
  <c r="AE47" i="128" s="1"/>
  <c r="BZ39" i="128"/>
  <c r="AE39" i="128" s="1"/>
  <c r="CA81" i="128"/>
  <c r="CA72" i="128"/>
  <c r="CC72" i="128" s="1"/>
  <c r="CA95" i="128"/>
  <c r="CA99" i="128"/>
  <c r="BZ21" i="128"/>
  <c r="AE21" i="128" s="1"/>
  <c r="BZ30" i="128"/>
  <c r="AE30" i="128" s="1"/>
  <c r="CA64" i="128"/>
  <c r="CC64" i="128" s="1"/>
  <c r="CA84" i="128"/>
  <c r="BZ27" i="128"/>
  <c r="AE27" i="128" s="1"/>
  <c r="Q27" i="131" s="1"/>
  <c r="CA121" i="128"/>
  <c r="CA128" i="128"/>
  <c r="BZ37" i="128"/>
  <c r="AE37" i="128" s="1"/>
  <c r="BZ32" i="128"/>
  <c r="AE32" i="128" s="1"/>
  <c r="BZ20" i="128"/>
  <c r="AE20" i="128" s="1"/>
  <c r="Q20" i="131" s="1"/>
  <c r="CA127" i="128"/>
  <c r="CA94" i="128"/>
  <c r="BZ31" i="128"/>
  <c r="AE31" i="128" s="1"/>
  <c r="CA101" i="128"/>
  <c r="CA103" i="128"/>
  <c r="CA87" i="128"/>
  <c r="BZ43" i="128"/>
  <c r="AE43" i="128" s="1"/>
  <c r="BZ25" i="128"/>
  <c r="AE25" i="128" s="1"/>
  <c r="Q25" i="131" s="1"/>
  <c r="CA105" i="128"/>
  <c r="BZ36" i="128"/>
  <c r="AE36" i="128" s="1"/>
  <c r="Q36" i="131" s="1"/>
  <c r="CA77" i="128"/>
  <c r="BZ40" i="128"/>
  <c r="AE40" i="128" s="1"/>
  <c r="AY37" i="128"/>
  <c r="AY7" i="128"/>
  <c r="AY8" i="128"/>
  <c r="AY20" i="128"/>
  <c r="AY24" i="128"/>
  <c r="AY53" i="128"/>
  <c r="AY29" i="128"/>
  <c r="AY5" i="128"/>
  <c r="AY36" i="128"/>
  <c r="AY17" i="128"/>
  <c r="AY6" i="128"/>
  <c r="AY34" i="128"/>
  <c r="AY3" i="128"/>
  <c r="AY22" i="128"/>
  <c r="BA17" i="128"/>
  <c r="BA38" i="128"/>
  <c r="AZ27" i="128"/>
  <c r="BA30" i="128"/>
  <c r="AZ5" i="47"/>
  <c r="BA5" i="47" s="1"/>
  <c r="AY9" i="47"/>
  <c r="AZ4" i="47"/>
  <c r="AZ3" i="47"/>
  <c r="B244" i="112"/>
  <c r="E244" i="112" s="1"/>
  <c r="B213" i="112"/>
  <c r="E213" i="112" s="1"/>
  <c r="B121" i="112"/>
  <c r="E121" i="112" s="1"/>
  <c r="B205" i="112"/>
  <c r="E205" i="112" s="1"/>
  <c r="B69" i="112"/>
  <c r="E69" i="112" s="1"/>
  <c r="B23" i="112"/>
  <c r="E23" i="112" s="1"/>
  <c r="B129" i="112"/>
  <c r="E129" i="112" s="1"/>
  <c r="B133" i="112"/>
  <c r="E133" i="112" s="1"/>
  <c r="B251" i="112"/>
  <c r="E251" i="112" s="1"/>
  <c r="B210" i="112"/>
  <c r="E210" i="112" s="1"/>
  <c r="B161" i="112"/>
  <c r="E161" i="112" s="1"/>
  <c r="B10" i="112"/>
  <c r="E10" i="112" s="1"/>
  <c r="B241" i="112"/>
  <c r="E241" i="112" s="1"/>
  <c r="B159" i="112"/>
  <c r="E159" i="112" s="1"/>
  <c r="B184" i="112"/>
  <c r="E184" i="112" s="1"/>
  <c r="B17" i="112"/>
  <c r="E17" i="112" s="1"/>
  <c r="B124" i="112"/>
  <c r="E124" i="112" s="1"/>
  <c r="B220" i="112"/>
  <c r="E220" i="112" s="1"/>
  <c r="B101" i="112"/>
  <c r="E101" i="112" s="1"/>
  <c r="B81" i="112"/>
  <c r="E81" i="112" s="1"/>
  <c r="B13" i="112"/>
  <c r="E13" i="112" s="1"/>
  <c r="B237" i="112"/>
  <c r="E237" i="112" s="1"/>
  <c r="B56" i="112"/>
  <c r="E56" i="112" s="1"/>
  <c r="B58" i="112"/>
  <c r="E58" i="112" s="1"/>
  <c r="B177" i="112"/>
  <c r="E177" i="112" s="1"/>
  <c r="B95" i="112"/>
  <c r="E95" i="112" s="1"/>
  <c r="B248" i="112"/>
  <c r="E248" i="112" s="1"/>
  <c r="B60" i="112"/>
  <c r="E60" i="112" s="1"/>
  <c r="B236" i="112"/>
  <c r="E236" i="112" s="1"/>
  <c r="B89" i="112"/>
  <c r="E89" i="112" s="1"/>
  <c r="B147" i="112"/>
  <c r="E147" i="112" s="1"/>
  <c r="B128" i="112"/>
  <c r="E128" i="112" s="1"/>
  <c r="B233" i="112"/>
  <c r="E233" i="112" s="1"/>
  <c r="B145" i="112"/>
  <c r="E145" i="112" s="1"/>
  <c r="B107" i="112"/>
  <c r="E107" i="112" s="1"/>
  <c r="B214" i="112"/>
  <c r="E214" i="112" s="1"/>
  <c r="B102" i="112"/>
  <c r="E102" i="112" s="1"/>
  <c r="B193" i="112"/>
  <c r="E193" i="112" s="1"/>
  <c r="B106" i="112"/>
  <c r="E106" i="112" s="1"/>
  <c r="B146" i="112"/>
  <c r="E146" i="112" s="1"/>
  <c r="B21" i="112"/>
  <c r="E21" i="112" s="1"/>
  <c r="B32" i="112"/>
  <c r="E32" i="112" s="1"/>
  <c r="B53" i="112"/>
  <c r="E53" i="112" s="1"/>
  <c r="B18" i="112"/>
  <c r="E18" i="112" s="1"/>
  <c r="B70" i="112"/>
  <c r="E70" i="112" s="1"/>
  <c r="B44" i="112"/>
  <c r="E44" i="112" s="1"/>
  <c r="B245" i="112"/>
  <c r="E245" i="112" s="1"/>
  <c r="B52" i="112"/>
  <c r="E52" i="112" s="1"/>
  <c r="B15" i="112"/>
  <c r="E15" i="112" s="1"/>
  <c r="B164" i="112"/>
  <c r="E164" i="112" s="1"/>
  <c r="B143" i="112"/>
  <c r="E143" i="112" s="1"/>
  <c r="B126" i="112"/>
  <c r="E126" i="112" s="1"/>
  <c r="B113" i="112"/>
  <c r="E113" i="112" s="1"/>
  <c r="B51" i="112"/>
  <c r="E51" i="112" s="1"/>
  <c r="B55" i="112"/>
  <c r="E55" i="112" s="1"/>
  <c r="B253" i="112"/>
  <c r="E253" i="112" s="1"/>
  <c r="B256" i="112"/>
  <c r="E256" i="112" s="1"/>
  <c r="B226" i="112"/>
  <c r="E226" i="112" s="1"/>
  <c r="B83" i="112"/>
  <c r="E83" i="112" s="1"/>
  <c r="B209" i="112"/>
  <c r="E209" i="112" s="1"/>
  <c r="B151" i="112"/>
  <c r="E151" i="112" s="1"/>
  <c r="B35" i="112"/>
  <c r="E35" i="112" s="1"/>
  <c r="B229" i="112"/>
  <c r="E229" i="112" s="1"/>
  <c r="B234" i="112"/>
  <c r="E234" i="112" s="1"/>
  <c r="B50" i="112"/>
  <c r="E50" i="112" s="1"/>
  <c r="B96" i="112"/>
  <c r="E96" i="112" s="1"/>
  <c r="B38" i="112"/>
  <c r="E38" i="112" s="1"/>
  <c r="B254" i="112"/>
  <c r="E254" i="112" s="1"/>
  <c r="B216" i="112"/>
  <c r="E216" i="112" s="1"/>
  <c r="B239" i="112"/>
  <c r="E239" i="112" s="1"/>
  <c r="B68" i="112"/>
  <c r="E68" i="112" s="1"/>
  <c r="B72" i="112"/>
  <c r="E72" i="112" s="1"/>
  <c r="B98" i="112"/>
  <c r="E98" i="112" s="1"/>
  <c r="B204" i="112"/>
  <c r="E204" i="112" s="1"/>
  <c r="B136" i="112"/>
  <c r="E136" i="112" s="1"/>
  <c r="B37" i="112"/>
  <c r="E37" i="112" s="1"/>
  <c r="B195" i="112"/>
  <c r="E195" i="112" s="1"/>
  <c r="B148" i="112"/>
  <c r="E148" i="112" s="1"/>
  <c r="B228" i="112"/>
  <c r="E228" i="112" s="1"/>
  <c r="B6" i="112"/>
  <c r="E6" i="112" s="1"/>
  <c r="B194" i="112"/>
  <c r="E194" i="112" s="1"/>
  <c r="B114" i="112"/>
  <c r="E114" i="112" s="1"/>
  <c r="B258" i="112"/>
  <c r="E258" i="112" s="1"/>
  <c r="B92" i="112"/>
  <c r="E92" i="112" s="1"/>
  <c r="B118" i="112"/>
  <c r="E118" i="112" s="1"/>
  <c r="B7" i="112"/>
  <c r="E7" i="112" s="1"/>
  <c r="B150" i="112"/>
  <c r="E150" i="112" s="1"/>
  <c r="B232" i="112"/>
  <c r="E232" i="112" s="1"/>
  <c r="B41" i="112"/>
  <c r="E41" i="112" s="1"/>
  <c r="B223" i="112"/>
  <c r="E223" i="112" s="1"/>
  <c r="B211" i="112"/>
  <c r="E211" i="112" s="1"/>
  <c r="B62" i="112"/>
  <c r="E62" i="112" s="1"/>
  <c r="B227" i="112"/>
  <c r="E227" i="112" s="1"/>
  <c r="B4" i="112"/>
  <c r="E4" i="112" s="1"/>
  <c r="B80" i="112"/>
  <c r="E80" i="112" s="1"/>
  <c r="B175" i="112"/>
  <c r="E175" i="112" s="1"/>
  <c r="B25" i="112"/>
  <c r="E25" i="112" s="1"/>
  <c r="B28" i="112"/>
  <c r="E28" i="112" s="1"/>
  <c r="B217" i="112"/>
  <c r="E217" i="112" s="1"/>
  <c r="B36" i="112"/>
  <c r="E36" i="112" s="1"/>
  <c r="B176" i="112"/>
  <c r="E176" i="112" s="1"/>
  <c r="B90" i="112"/>
  <c r="E90" i="112" s="1"/>
  <c r="B257" i="112"/>
  <c r="E257" i="112" s="1"/>
  <c r="B74" i="112"/>
  <c r="E74" i="112" s="1"/>
  <c r="B255" i="112"/>
  <c r="E255" i="112" s="1"/>
  <c r="B154" i="112"/>
  <c r="E154" i="112" s="1"/>
  <c r="B9" i="112"/>
  <c r="E9" i="112" s="1"/>
  <c r="B172" i="112"/>
  <c r="E172" i="112" s="1"/>
  <c r="B231" i="112"/>
  <c r="E231" i="112" s="1"/>
  <c r="B112" i="112"/>
  <c r="E112" i="112" s="1"/>
  <c r="B173" i="112"/>
  <c r="E173" i="112" s="1"/>
  <c r="B30" i="112"/>
  <c r="E30" i="112" s="1"/>
  <c r="B117" i="112"/>
  <c r="E117" i="112" s="1"/>
  <c r="B190" i="112"/>
  <c r="E190" i="112" s="1"/>
  <c r="B16" i="112"/>
  <c r="E16" i="112" s="1"/>
  <c r="B168" i="112"/>
  <c r="E168" i="112" s="1"/>
  <c r="B215" i="112"/>
  <c r="E215" i="112" s="1"/>
  <c r="B127" i="112"/>
  <c r="E127" i="112" s="1"/>
  <c r="B259" i="112"/>
  <c r="E259" i="112" s="1"/>
  <c r="B163" i="112"/>
  <c r="E163" i="112" s="1"/>
  <c r="B11" i="112"/>
  <c r="E11" i="112" s="1"/>
  <c r="B116" i="112"/>
  <c r="E116" i="112" s="1"/>
  <c r="B78" i="112"/>
  <c r="E78" i="112" s="1"/>
  <c r="B183" i="112"/>
  <c r="E183" i="112" s="1"/>
  <c r="B54" i="112"/>
  <c r="E54" i="112" s="1"/>
  <c r="B73" i="112"/>
  <c r="E73" i="112" s="1"/>
  <c r="B22" i="112"/>
  <c r="E22" i="112" s="1"/>
  <c r="B48" i="112"/>
  <c r="E48" i="112" s="1"/>
  <c r="B132" i="112"/>
  <c r="E132" i="112" s="1"/>
  <c r="B75" i="112"/>
  <c r="E75" i="112" s="1"/>
  <c r="B47" i="112"/>
  <c r="E47" i="112" s="1"/>
  <c r="B199" i="112"/>
  <c r="E199" i="112" s="1"/>
  <c r="B203" i="112"/>
  <c r="E203" i="112" s="1"/>
  <c r="B222" i="112"/>
  <c r="E222" i="112" s="1"/>
  <c r="B125" i="112"/>
  <c r="E125" i="112" s="1"/>
  <c r="B179" i="112"/>
  <c r="E179" i="112" s="1"/>
  <c r="B186" i="112"/>
  <c r="E186" i="112" s="1"/>
  <c r="B238" i="112"/>
  <c r="E238" i="112" s="1"/>
  <c r="B20" i="112"/>
  <c r="E20" i="112" s="1"/>
  <c r="B110" i="112"/>
  <c r="E110" i="112" s="1"/>
  <c r="B43" i="112"/>
  <c r="E43" i="112" s="1"/>
  <c r="B123" i="112"/>
  <c r="E123" i="112" s="1"/>
  <c r="B224" i="112"/>
  <c r="E224" i="112" s="1"/>
  <c r="B97" i="112"/>
  <c r="E97" i="112" s="1"/>
  <c r="B14" i="112"/>
  <c r="E14" i="112" s="1"/>
  <c r="B65" i="112"/>
  <c r="E65" i="112" s="1"/>
  <c r="B162" i="112"/>
  <c r="E162" i="112" s="1"/>
  <c r="B188" i="112"/>
  <c r="E188" i="112" s="1"/>
  <c r="B221" i="112"/>
  <c r="E221" i="112" s="1"/>
  <c r="B212" i="112"/>
  <c r="E212" i="112" s="1"/>
  <c r="B138" i="112"/>
  <c r="E138" i="112" s="1"/>
  <c r="B19" i="112"/>
  <c r="E19" i="112" s="1"/>
  <c r="B87" i="112"/>
  <c r="E87" i="112" s="1"/>
  <c r="B185" i="112"/>
  <c r="E185" i="112" s="1"/>
  <c r="B169" i="112"/>
  <c r="E169" i="112" s="1"/>
  <c r="B67" i="112"/>
  <c r="E67" i="112" s="1"/>
  <c r="B27" i="112"/>
  <c r="E27" i="112" s="1"/>
  <c r="B91" i="112"/>
  <c r="E91" i="112" s="1"/>
  <c r="B178" i="112"/>
  <c r="E178" i="112" s="1"/>
  <c r="B134" i="112"/>
  <c r="E134" i="112" s="1"/>
  <c r="B218" i="112"/>
  <c r="E218" i="112" s="1"/>
  <c r="B240" i="112"/>
  <c r="E240" i="112" s="1"/>
  <c r="B130" i="112"/>
  <c r="E130" i="112" s="1"/>
  <c r="B252" i="112"/>
  <c r="E252" i="112" s="1"/>
  <c r="B24" i="112"/>
  <c r="E24" i="112" s="1"/>
  <c r="B63" i="112"/>
  <c r="E63" i="112" s="1"/>
  <c r="B5" i="112"/>
  <c r="E5" i="112" s="1"/>
  <c r="B242" i="112"/>
  <c r="E242" i="112" s="1"/>
  <c r="B225" i="112"/>
  <c r="E225" i="112" s="1"/>
  <c r="B149" i="112"/>
  <c r="E149" i="112" s="1"/>
  <c r="B250" i="112"/>
  <c r="E250" i="112" s="1"/>
  <c r="B82" i="112"/>
  <c r="E82" i="112" s="1"/>
  <c r="B76" i="112"/>
  <c r="E76" i="112" s="1"/>
  <c r="B49" i="112"/>
  <c r="E49" i="112" s="1"/>
  <c r="B77" i="112"/>
  <c r="E77" i="112" s="1"/>
  <c r="B29" i="112"/>
  <c r="E29" i="112" s="1"/>
  <c r="B219" i="112"/>
  <c r="E219" i="112" s="1"/>
  <c r="B71" i="112"/>
  <c r="E71" i="112" s="1"/>
  <c r="B202" i="112"/>
  <c r="E202" i="112" s="1"/>
  <c r="B156" i="112"/>
  <c r="E156" i="112" s="1"/>
  <c r="B153" i="112"/>
  <c r="E153" i="112" s="1"/>
  <c r="B140" i="112"/>
  <c r="E140" i="112" s="1"/>
  <c r="B192" i="112"/>
  <c r="E192" i="112" s="1"/>
  <c r="B174" i="112"/>
  <c r="E174" i="112" s="1"/>
  <c r="B108" i="112"/>
  <c r="E108" i="112" s="1"/>
  <c r="B170" i="112"/>
  <c r="E170" i="112" s="1"/>
  <c r="B165" i="112"/>
  <c r="E165" i="112" s="1"/>
  <c r="B103" i="112"/>
  <c r="E103" i="112" s="1"/>
  <c r="B42" i="112"/>
  <c r="E42" i="112" s="1"/>
  <c r="B182" i="112"/>
  <c r="E182" i="112" s="1"/>
  <c r="B66" i="112"/>
  <c r="E66" i="112" s="1"/>
  <c r="B104" i="112"/>
  <c r="E104" i="112" s="1"/>
  <c r="B189" i="112"/>
  <c r="E189" i="112" s="1"/>
  <c r="B230" i="112"/>
  <c r="E230" i="112" s="1"/>
  <c r="B39" i="112"/>
  <c r="E39" i="112" s="1"/>
  <c r="B46" i="112"/>
  <c r="E46" i="112" s="1"/>
  <c r="B152" i="112"/>
  <c r="E152" i="112" s="1"/>
  <c r="B187" i="112"/>
  <c r="E187" i="112" s="1"/>
  <c r="B64" i="112"/>
  <c r="E64" i="112" s="1"/>
  <c r="B180" i="112"/>
  <c r="E180" i="112" s="1"/>
  <c r="B246" i="112"/>
  <c r="E246" i="112" s="1"/>
  <c r="B197" i="112"/>
  <c r="E197" i="112" s="1"/>
  <c r="B167" i="112"/>
  <c r="E167" i="112" s="1"/>
  <c r="B34" i="112"/>
  <c r="E34" i="112" s="1"/>
  <c r="B207" i="112"/>
  <c r="E207" i="112" s="1"/>
  <c r="B122" i="112"/>
  <c r="E122" i="112" s="1"/>
  <c r="B181" i="112"/>
  <c r="E181" i="112" s="1"/>
  <c r="B88" i="112"/>
  <c r="E88" i="112" s="1"/>
  <c r="B139" i="112"/>
  <c r="E139" i="112" s="1"/>
  <c r="B120" i="112"/>
  <c r="E120" i="112" s="1"/>
  <c r="B26" i="112"/>
  <c r="E26" i="112" s="1"/>
  <c r="B79" i="112"/>
  <c r="E79" i="112" s="1"/>
  <c r="B115" i="112"/>
  <c r="E115" i="112" s="1"/>
  <c r="B200" i="112"/>
  <c r="E200" i="112" s="1"/>
  <c r="B94" i="112"/>
  <c r="E94" i="112" s="1"/>
  <c r="B8" i="112"/>
  <c r="E8" i="112" s="1"/>
  <c r="B93" i="112"/>
  <c r="E93" i="112" s="1"/>
  <c r="B249" i="112"/>
  <c r="E249" i="112" s="1"/>
  <c r="B86" i="112"/>
  <c r="E86" i="112" s="1"/>
  <c r="B111" i="112"/>
  <c r="E111" i="112" s="1"/>
  <c r="B166" i="112"/>
  <c r="E166" i="112" s="1"/>
  <c r="B208" i="112"/>
  <c r="E208" i="112" s="1"/>
  <c r="B247" i="112"/>
  <c r="E247" i="112" s="1"/>
  <c r="B171" i="112"/>
  <c r="E171" i="112" s="1"/>
  <c r="B243" i="112"/>
  <c r="E243" i="112" s="1"/>
  <c r="B141" i="112"/>
  <c r="E141" i="112" s="1"/>
  <c r="B144" i="112"/>
  <c r="E144" i="112" s="1"/>
  <c r="B196" i="112"/>
  <c r="E196" i="112" s="1"/>
  <c r="B135" i="112"/>
  <c r="E135" i="112" s="1"/>
  <c r="B119" i="112"/>
  <c r="E119" i="112" s="1"/>
  <c r="B84" i="112"/>
  <c r="E84" i="112" s="1"/>
  <c r="B57" i="112"/>
  <c r="E57" i="112" s="1"/>
  <c r="B201" i="112"/>
  <c r="E201" i="112" s="1"/>
  <c r="B198" i="112"/>
  <c r="E198" i="112" s="1"/>
  <c r="B157" i="112"/>
  <c r="E157" i="112" s="1"/>
  <c r="B155" i="112"/>
  <c r="E155" i="112" s="1"/>
  <c r="B99" i="112"/>
  <c r="E99" i="112" s="1"/>
  <c r="B33" i="112"/>
  <c r="E33" i="112" s="1"/>
  <c r="B45" i="112"/>
  <c r="E45" i="112" s="1"/>
  <c r="B61" i="112"/>
  <c r="E61" i="112" s="1"/>
  <c r="B59" i="112"/>
  <c r="E59" i="112" s="1"/>
  <c r="B85" i="112"/>
  <c r="E85" i="112" s="1"/>
  <c r="B137" i="112"/>
  <c r="E137" i="112" s="1"/>
  <c r="B160" i="112"/>
  <c r="E160" i="112" s="1"/>
  <c r="B158" i="112"/>
  <c r="E158" i="112" s="1"/>
  <c r="B40" i="112"/>
  <c r="E40" i="112" s="1"/>
  <c r="B31" i="112"/>
  <c r="E31" i="112" s="1"/>
  <c r="B131" i="112"/>
  <c r="E131" i="112" s="1"/>
  <c r="B100" i="112"/>
  <c r="E100" i="112" s="1"/>
  <c r="B142" i="112"/>
  <c r="E142" i="112" s="1"/>
  <c r="B235" i="112"/>
  <c r="E235" i="112" s="1"/>
  <c r="B206" i="112"/>
  <c r="E206" i="112" s="1"/>
  <c r="B109" i="112"/>
  <c r="E109" i="112" s="1"/>
  <c r="B191" i="112"/>
  <c r="E191" i="112" s="1"/>
  <c r="B105" i="112"/>
  <c r="E105" i="112" s="1"/>
  <c r="B12" i="112"/>
  <c r="E12" i="112" s="1"/>
  <c r="BA6" i="47"/>
  <c r="BB6" i="47" s="1"/>
  <c r="AM6" i="47"/>
  <c r="S4" i="131" l="1"/>
  <c r="Z4" i="128"/>
  <c r="L4" i="131" s="1"/>
  <c r="CC4" i="128"/>
  <c r="BK62" i="128"/>
  <c r="AG3" i="128"/>
  <c r="BT3" i="128" s="1"/>
  <c r="BT4" i="128"/>
  <c r="CC3" i="128"/>
  <c r="S13" i="131"/>
  <c r="U14" i="131"/>
  <c r="AH3" i="128"/>
  <c r="AI3" i="128"/>
  <c r="U13" i="131" s="1"/>
  <c r="AI5" i="128"/>
  <c r="AH4" i="128"/>
  <c r="T4" i="131" s="1"/>
  <c r="AM5" i="47"/>
  <c r="AJ70" i="128"/>
  <c r="P24" i="131"/>
  <c r="BT66" i="128"/>
  <c r="P52" i="131"/>
  <c r="CC121" i="128"/>
  <c r="AL27" i="131"/>
  <c r="CC130" i="128"/>
  <c r="P33" i="131"/>
  <c r="BT82" i="128"/>
  <c r="AV45" i="131"/>
  <c r="BB91" i="128"/>
  <c r="AU42" i="131"/>
  <c r="P81" i="128"/>
  <c r="AD20" i="131"/>
  <c r="CC21" i="128"/>
  <c r="BB93" i="128"/>
  <c r="U16" i="131"/>
  <c r="AS113" i="128"/>
  <c r="AJ81" i="128"/>
  <c r="BT6" i="128"/>
  <c r="BT41" i="128"/>
  <c r="BT99" i="128"/>
  <c r="BT106" i="128"/>
  <c r="BT77" i="128"/>
  <c r="AV43" i="131"/>
  <c r="AM32" i="131"/>
  <c r="AC15" i="131"/>
  <c r="T38" i="131"/>
  <c r="BB106" i="128"/>
  <c r="AJ42" i="128"/>
  <c r="AS83" i="128"/>
  <c r="BK120" i="128"/>
  <c r="BT19" i="128"/>
  <c r="AM29" i="131"/>
  <c r="AS55" i="128"/>
  <c r="AJ61" i="128"/>
  <c r="BT53" i="128"/>
  <c r="AM16" i="131"/>
  <c r="AM35" i="131"/>
  <c r="BT7" i="128"/>
  <c r="AM24" i="131"/>
  <c r="BB112" i="128"/>
  <c r="S27" i="131"/>
  <c r="T15" i="131"/>
  <c r="BK116" i="128"/>
  <c r="AS80" i="128"/>
  <c r="Z60" i="128"/>
  <c r="AV60" i="128" s="1"/>
  <c r="AJ37" i="128"/>
  <c r="Z37" i="128"/>
  <c r="L18" i="131" s="1"/>
  <c r="BK41" i="128"/>
  <c r="BB101" i="128"/>
  <c r="BB87" i="128"/>
  <c r="AJ84" i="128"/>
  <c r="AV66" i="128"/>
  <c r="BK117" i="128"/>
  <c r="AS100" i="128"/>
  <c r="AV129" i="128"/>
  <c r="AJ105" i="128"/>
  <c r="AJ17" i="128"/>
  <c r="AS120" i="128"/>
  <c r="AS77" i="128"/>
  <c r="BK109" i="128"/>
  <c r="BK99" i="128"/>
  <c r="Z83" i="128"/>
  <c r="BW83" i="128" s="1"/>
  <c r="Z100" i="128"/>
  <c r="AV100" i="128" s="1"/>
  <c r="BK61" i="128"/>
  <c r="AS85" i="128"/>
  <c r="AS102" i="128"/>
  <c r="AJ65" i="128"/>
  <c r="CF85" i="128"/>
  <c r="AJ104" i="128"/>
  <c r="AJ33" i="128"/>
  <c r="AS109" i="128"/>
  <c r="AS67" i="128"/>
  <c r="AS4" i="128"/>
  <c r="AS32" i="128"/>
  <c r="AS43" i="128"/>
  <c r="AS129" i="128"/>
  <c r="Z70" i="128"/>
  <c r="BW70" i="128" s="1"/>
  <c r="BB95" i="128"/>
  <c r="Z43" i="128"/>
  <c r="L31" i="131" s="1"/>
  <c r="BK55" i="128"/>
  <c r="CC16" i="128"/>
  <c r="AV78" i="128"/>
  <c r="AJ19" i="128"/>
  <c r="Z33" i="128"/>
  <c r="BK89" i="128"/>
  <c r="AJ110" i="128"/>
  <c r="BK129" i="128"/>
  <c r="AS70" i="128"/>
  <c r="AJ117" i="128"/>
  <c r="AS127" i="128"/>
  <c r="AJ78" i="128"/>
  <c r="AJ95" i="128"/>
  <c r="Z65" i="128"/>
  <c r="BN65" i="128" s="1"/>
  <c r="CC78" i="128"/>
  <c r="CC110" i="128"/>
  <c r="BT85" i="128"/>
  <c r="BT127" i="128"/>
  <c r="AU14" i="131"/>
  <c r="CC117" i="128"/>
  <c r="P115" i="128"/>
  <c r="U35" i="131"/>
  <c r="AS33" i="128"/>
  <c r="BB129" i="128"/>
  <c r="BK84" i="128"/>
  <c r="AJ60" i="128"/>
  <c r="AS110" i="128"/>
  <c r="Z117" i="128"/>
  <c r="BN117" i="128" s="1"/>
  <c r="Z127" i="128"/>
  <c r="BE127" i="128" s="1"/>
  <c r="AS61" i="128"/>
  <c r="BK78" i="128"/>
  <c r="Z19" i="128"/>
  <c r="BK85" i="128"/>
  <c r="Z86" i="128"/>
  <c r="CF86" i="128" s="1"/>
  <c r="AJ83" i="128"/>
  <c r="Z55" i="128"/>
  <c r="BN55" i="128" s="1"/>
  <c r="AJ126" i="128"/>
  <c r="Z87" i="128"/>
  <c r="BW87" i="128" s="1"/>
  <c r="BK98" i="128"/>
  <c r="BK128" i="128"/>
  <c r="CC128" i="128"/>
  <c r="CC95" i="128"/>
  <c r="BT25" i="128"/>
  <c r="CC86" i="128"/>
  <c r="BT101" i="128"/>
  <c r="BT84" i="128"/>
  <c r="BT100" i="128"/>
  <c r="CC102" i="128"/>
  <c r="AM43" i="131"/>
  <c r="BB100" i="128"/>
  <c r="BB55" i="128"/>
  <c r="AC31" i="131"/>
  <c r="AS30" i="128"/>
  <c r="AC21" i="131"/>
  <c r="BT43" i="128"/>
  <c r="CC31" i="128"/>
  <c r="CC37" i="128"/>
  <c r="CC40" i="128"/>
  <c r="BB128" i="128"/>
  <c r="BK64" i="128"/>
  <c r="AS118" i="128"/>
  <c r="BK79" i="128"/>
  <c r="BK123" i="128"/>
  <c r="AV82" i="128"/>
  <c r="AS101" i="128"/>
  <c r="BK63" i="128"/>
  <c r="BK77" i="128"/>
  <c r="BK66" i="128"/>
  <c r="CF105" i="128"/>
  <c r="Z61" i="128"/>
  <c r="CF61" i="128" s="1"/>
  <c r="AJ55" i="128"/>
  <c r="BK102" i="128"/>
  <c r="BT30" i="128"/>
  <c r="CC100" i="128"/>
  <c r="BT70" i="128"/>
  <c r="CC85" i="128"/>
  <c r="BB117" i="128"/>
  <c r="P113" i="128"/>
  <c r="BK90" i="128"/>
  <c r="BK104" i="128"/>
  <c r="AS90" i="128"/>
  <c r="AJ11" i="128"/>
  <c r="AS99" i="128"/>
  <c r="Z25" i="128"/>
  <c r="L25" i="131" s="1"/>
  <c r="BT31" i="128"/>
  <c r="BT65" i="128"/>
  <c r="BT47" i="128"/>
  <c r="BT37" i="128"/>
  <c r="BT95" i="128"/>
  <c r="BT110" i="128"/>
  <c r="BT128" i="128"/>
  <c r="BB78" i="128"/>
  <c r="BB110" i="128"/>
  <c r="BB66" i="128"/>
  <c r="BT40" i="128"/>
  <c r="CC33" i="128"/>
  <c r="CC43" i="128"/>
  <c r="CC19" i="128"/>
  <c r="CC47" i="128"/>
  <c r="CC25" i="128"/>
  <c r="BK92" i="128"/>
  <c r="AJ66" i="128"/>
  <c r="BB63" i="128"/>
  <c r="BK105" i="128"/>
  <c r="BK65" i="128"/>
  <c r="BK108" i="128"/>
  <c r="BK106" i="128"/>
  <c r="CC123" i="128"/>
  <c r="Z63" i="128"/>
  <c r="AV63" i="128" s="1"/>
  <c r="BK130" i="128"/>
  <c r="Z56" i="128"/>
  <c r="AV56" i="128" s="1"/>
  <c r="AS71" i="128"/>
  <c r="Z107" i="128"/>
  <c r="BN107" i="128" s="1"/>
  <c r="AS123" i="128"/>
  <c r="AJ92" i="128"/>
  <c r="BK58" i="128"/>
  <c r="AS122" i="128"/>
  <c r="AJ32" i="128"/>
  <c r="BK119" i="128"/>
  <c r="AS115" i="128"/>
  <c r="AJ130" i="128"/>
  <c r="BB56" i="128"/>
  <c r="Z67" i="128"/>
  <c r="AV67" i="128" s="1"/>
  <c r="BN95" i="128"/>
  <c r="AJ115" i="128"/>
  <c r="CC92" i="128"/>
  <c r="CC119" i="128"/>
  <c r="BT91" i="128"/>
  <c r="BT67" i="128"/>
  <c r="CC58" i="128"/>
  <c r="BT63" i="128"/>
  <c r="BT21" i="128"/>
  <c r="BT119" i="128"/>
  <c r="BB118" i="128"/>
  <c r="BB79" i="128"/>
  <c r="BB89" i="128"/>
  <c r="BB67" i="128"/>
  <c r="BB122" i="128"/>
  <c r="AJ100" i="128"/>
  <c r="AS78" i="128"/>
  <c r="T17" i="131"/>
  <c r="AJ129" i="128"/>
  <c r="AJ123" i="128"/>
  <c r="AV57" i="128"/>
  <c r="T10" i="131"/>
  <c r="AS91" i="128"/>
  <c r="AV69" i="128"/>
  <c r="BB113" i="128"/>
  <c r="Z71" i="128"/>
  <c r="BN71" i="128" s="1"/>
  <c r="AS7" i="128"/>
  <c r="BK82" i="128"/>
  <c r="BN92" i="128"/>
  <c r="BB88" i="128"/>
  <c r="BK80" i="128"/>
  <c r="Z72" i="128"/>
  <c r="CF72" i="128" s="1"/>
  <c r="BB9" i="128"/>
  <c r="AS89" i="128"/>
  <c r="AV16" i="131"/>
  <c r="AC10" i="131"/>
  <c r="CC46" i="128"/>
  <c r="U48" i="131"/>
  <c r="U38" i="131"/>
  <c r="BB65" i="128"/>
  <c r="AU29" i="131"/>
  <c r="AS47" i="128"/>
  <c r="BB102" i="128"/>
  <c r="BB85" i="128"/>
  <c r="BB60" i="128"/>
  <c r="AJ85" i="128"/>
  <c r="AV23" i="131"/>
  <c r="AD33" i="131"/>
  <c r="BB61" i="128"/>
  <c r="BB127" i="128"/>
  <c r="BK94" i="128"/>
  <c r="BK68" i="128"/>
  <c r="AS84" i="128"/>
  <c r="BK69" i="128"/>
  <c r="T50" i="131"/>
  <c r="U17" i="131"/>
  <c r="AJ128" i="128"/>
  <c r="BK107" i="128"/>
  <c r="AS37" i="128"/>
  <c r="S18" i="131"/>
  <c r="CF115" i="128"/>
  <c r="AJ118" i="128"/>
  <c r="BK93" i="128"/>
  <c r="AS106" i="128"/>
  <c r="BN58" i="128"/>
  <c r="BN130" i="128"/>
  <c r="AS5" i="128"/>
  <c r="AJ79" i="128"/>
  <c r="AS82" i="128"/>
  <c r="AS60" i="128"/>
  <c r="AS66" i="128"/>
  <c r="AS65" i="128"/>
  <c r="BB119" i="128"/>
  <c r="AJ63" i="128"/>
  <c r="AS92" i="128"/>
  <c r="BK70" i="128"/>
  <c r="AJ62" i="128"/>
  <c r="AJ91" i="128"/>
  <c r="AS81" i="128"/>
  <c r="CC67" i="128"/>
  <c r="CC91" i="128"/>
  <c r="BB58" i="128"/>
  <c r="CC23" i="128"/>
  <c r="BT130" i="128"/>
  <c r="BT39" i="128"/>
  <c r="BB62" i="128"/>
  <c r="BB130" i="128"/>
  <c r="BK76" i="128"/>
  <c r="BK112" i="128"/>
  <c r="AS64" i="128"/>
  <c r="AJ56" i="128"/>
  <c r="AJ93" i="128"/>
  <c r="Z123" i="128"/>
  <c r="BN123" i="128" s="1"/>
  <c r="Z79" i="128"/>
  <c r="BW79" i="128" s="1"/>
  <c r="Z118" i="128"/>
  <c r="AV118" i="128" s="1"/>
  <c r="AJ122" i="128"/>
  <c r="Z89" i="128"/>
  <c r="AV89" i="128" s="1"/>
  <c r="AS63" i="128"/>
  <c r="AS107" i="128"/>
  <c r="Z36" i="128"/>
  <c r="L36" i="131" s="1"/>
  <c r="Z18" i="128"/>
  <c r="BK122" i="128"/>
  <c r="BT18" i="128"/>
  <c r="BT23" i="128"/>
  <c r="CC62" i="128"/>
  <c r="BT58" i="128"/>
  <c r="BT89" i="128"/>
  <c r="BB92" i="128"/>
  <c r="BT115" i="128"/>
  <c r="S40" i="131"/>
  <c r="CC34" i="128"/>
  <c r="BB71" i="128"/>
  <c r="BB123" i="128"/>
  <c r="AJ103" i="128"/>
  <c r="AJ89" i="128"/>
  <c r="AJ82" i="128"/>
  <c r="AJ58" i="128"/>
  <c r="AS48" i="128"/>
  <c r="Z104" i="128"/>
  <c r="AV104" i="128" s="1"/>
  <c r="AS103" i="128"/>
  <c r="Z126" i="128"/>
  <c r="CF126" i="128" s="1"/>
  <c r="P44" i="131"/>
  <c r="AS62" i="128"/>
  <c r="AS58" i="128"/>
  <c r="BB98" i="128"/>
  <c r="AJ54" i="128"/>
  <c r="AS108" i="128"/>
  <c r="AS105" i="128"/>
  <c r="BB120" i="128"/>
  <c r="AV77" i="128"/>
  <c r="AS95" i="128"/>
  <c r="P29" i="131"/>
  <c r="AS17" i="128"/>
  <c r="AJ90" i="128"/>
  <c r="BK103" i="128"/>
  <c r="Z48" i="128"/>
  <c r="L49" i="131" s="1"/>
  <c r="P15" i="131"/>
  <c r="Z90" i="128"/>
  <c r="BN90" i="128" s="1"/>
  <c r="BB17" i="128"/>
  <c r="BB104" i="128"/>
  <c r="Z103" i="128"/>
  <c r="BW103" i="128" s="1"/>
  <c r="BB109" i="128"/>
  <c r="BK54" i="128"/>
  <c r="Z108" i="128"/>
  <c r="AV108" i="128" s="1"/>
  <c r="AJ48" i="128"/>
  <c r="AJ99" i="128"/>
  <c r="BK83" i="128"/>
  <c r="AJ120" i="128"/>
  <c r="Z120" i="128"/>
  <c r="BN120" i="128" s="1"/>
  <c r="AJ98" i="128"/>
  <c r="BT98" i="128"/>
  <c r="CC98" i="128"/>
  <c r="CC83" i="128"/>
  <c r="BT87" i="128"/>
  <c r="BT42" i="128"/>
  <c r="BB108" i="128"/>
  <c r="AM7" i="131"/>
  <c r="BK20" i="128"/>
  <c r="P102" i="128"/>
  <c r="AV27" i="131"/>
  <c r="U34" i="131"/>
  <c r="U43" i="131"/>
  <c r="U44" i="131"/>
  <c r="S38" i="131"/>
  <c r="AJ109" i="128"/>
  <c r="AS121" i="128"/>
  <c r="BT126" i="128"/>
  <c r="Q35" i="131"/>
  <c r="AL52" i="131"/>
  <c r="AV39" i="131"/>
  <c r="AS98" i="128"/>
  <c r="CC105" i="128"/>
  <c r="BT103" i="128"/>
  <c r="BT120" i="128"/>
  <c r="BB105" i="128"/>
  <c r="AD17" i="131"/>
  <c r="CC6" i="128"/>
  <c r="CC24" i="128"/>
  <c r="CC20" i="128"/>
  <c r="T53" i="131"/>
  <c r="AC8" i="131"/>
  <c r="AD3" i="131"/>
  <c r="S10" i="131"/>
  <c r="AJ77" i="128"/>
  <c r="AJ87" i="128"/>
  <c r="S39" i="131"/>
  <c r="AS117" i="128"/>
  <c r="S35" i="131"/>
  <c r="L40" i="131"/>
  <c r="AJ9" i="128"/>
  <c r="AV84" i="128"/>
  <c r="BB94" i="128"/>
  <c r="Z112" i="128"/>
  <c r="BN112" i="128" s="1"/>
  <c r="AS116" i="128"/>
  <c r="AJ24" i="128"/>
  <c r="Z116" i="128"/>
  <c r="BN116" i="128" s="1"/>
  <c r="BB8" i="128"/>
  <c r="AS12" i="128"/>
  <c r="P111" i="128"/>
  <c r="Z64" i="128"/>
  <c r="BW64" i="128" s="1"/>
  <c r="Z124" i="128"/>
  <c r="AV124" i="128" s="1"/>
  <c r="Z10" i="128"/>
  <c r="L29" i="131" s="1"/>
  <c r="CC114" i="128"/>
  <c r="Q10" i="131"/>
  <c r="BT51" i="128"/>
  <c r="AV48" i="131"/>
  <c r="AM20" i="131"/>
  <c r="AM12" i="131"/>
  <c r="AC20" i="131"/>
  <c r="AJ64" i="128"/>
  <c r="AS21" i="128"/>
  <c r="Z13" i="128"/>
  <c r="AJ113" i="128"/>
  <c r="BT124" i="128"/>
  <c r="P19" i="131"/>
  <c r="AD13" i="131"/>
  <c r="AM48" i="131"/>
  <c r="U47" i="131"/>
  <c r="T41" i="131"/>
  <c r="AJ108" i="128"/>
  <c r="T22" i="131"/>
  <c r="AS130" i="128"/>
  <c r="Q40" i="131"/>
  <c r="AV37" i="131"/>
  <c r="AV33" i="131"/>
  <c r="AU6" i="131"/>
  <c r="AM41" i="131"/>
  <c r="AM11" i="131"/>
  <c r="AS45" i="128"/>
  <c r="AS75" i="128"/>
  <c r="AJ59" i="128"/>
  <c r="AJ26" i="128"/>
  <c r="AJ6" i="128"/>
  <c r="AJ23" i="128"/>
  <c r="BK114" i="128"/>
  <c r="BK56" i="128"/>
  <c r="BK118" i="128"/>
  <c r="P38" i="131"/>
  <c r="L23" i="131"/>
  <c r="Q43" i="131"/>
  <c r="AM53" i="131"/>
  <c r="AD19" i="131"/>
  <c r="AC7" i="131"/>
  <c r="Q47" i="131"/>
  <c r="Q13" i="131"/>
  <c r="P7" i="131"/>
  <c r="AV31" i="131"/>
  <c r="AV10" i="131"/>
  <c r="AM46" i="131"/>
  <c r="AM27" i="131"/>
  <c r="AL14" i="131"/>
  <c r="P49" i="131"/>
  <c r="P35" i="131"/>
  <c r="P32" i="131"/>
  <c r="AU11" i="131"/>
  <c r="AV30" i="131"/>
  <c r="AV22" i="131"/>
  <c r="AV17" i="131"/>
  <c r="AL48" i="131"/>
  <c r="AL38" i="131"/>
  <c r="AC39" i="131"/>
  <c r="AC9" i="131"/>
  <c r="AD51" i="131"/>
  <c r="AC17" i="131"/>
  <c r="AD53" i="131"/>
  <c r="AD22" i="131"/>
  <c r="AD27" i="131"/>
  <c r="U42" i="131"/>
  <c r="T51" i="131"/>
  <c r="S30" i="131"/>
  <c r="S49" i="131"/>
  <c r="S46" i="131"/>
  <c r="S43" i="131"/>
  <c r="U24" i="131"/>
  <c r="AJ74" i="128"/>
  <c r="BK28" i="128"/>
  <c r="AS125" i="128"/>
  <c r="L43" i="131"/>
  <c r="L20" i="131"/>
  <c r="BK75" i="128"/>
  <c r="AM17" i="131"/>
  <c r="Q21" i="131"/>
  <c r="Q45" i="131"/>
  <c r="AJ28" i="128"/>
  <c r="Z94" i="128"/>
  <c r="BN94" i="128" s="1"/>
  <c r="AJ35" i="128"/>
  <c r="AM30" i="131"/>
  <c r="Q37" i="131"/>
  <c r="P21" i="131"/>
  <c r="Q51" i="131"/>
  <c r="P39" i="131"/>
  <c r="AU13" i="131"/>
  <c r="AU22" i="131"/>
  <c r="AU51" i="131"/>
  <c r="AM8" i="131"/>
  <c r="AC50" i="131"/>
  <c r="BT118" i="128"/>
  <c r="AD10" i="131"/>
  <c r="CC26" i="128"/>
  <c r="CC115" i="128"/>
  <c r="S11" i="131"/>
  <c r="S17" i="131"/>
  <c r="S24" i="131"/>
  <c r="S6" i="131"/>
  <c r="Q52" i="131"/>
  <c r="BT72" i="128"/>
  <c r="CC80" i="128"/>
  <c r="CC73" i="128"/>
  <c r="P3" i="131"/>
  <c r="BT73" i="128"/>
  <c r="BT69" i="128"/>
  <c r="AV21" i="131"/>
  <c r="AV35" i="131"/>
  <c r="AV3" i="131"/>
  <c r="CC59" i="128"/>
  <c r="CC88" i="128"/>
  <c r="AM21" i="131"/>
  <c r="AM34" i="131"/>
  <c r="BB73" i="128"/>
  <c r="BT12" i="128"/>
  <c r="CC22" i="128"/>
  <c r="CC13" i="128"/>
  <c r="CC28" i="128"/>
  <c r="AD11" i="131"/>
  <c r="S51" i="131"/>
  <c r="AS96" i="128"/>
  <c r="T27" i="131"/>
  <c r="T29" i="131"/>
  <c r="P5" i="131"/>
  <c r="AV13" i="131"/>
  <c r="Q15" i="131"/>
  <c r="AL6" i="131"/>
  <c r="AD49" i="131"/>
  <c r="AC28" i="131"/>
  <c r="AM38" i="131"/>
  <c r="Q30" i="131"/>
  <c r="P11" i="131"/>
  <c r="Q5" i="131"/>
  <c r="P42" i="131"/>
  <c r="P20" i="131"/>
  <c r="AV5" i="131"/>
  <c r="Q48" i="131"/>
  <c r="AC38" i="131"/>
  <c r="AD30" i="131"/>
  <c r="U53" i="131"/>
  <c r="AD21" i="131"/>
  <c r="L32" i="131"/>
  <c r="Q39" i="131"/>
  <c r="AV47" i="131"/>
  <c r="AM40" i="131"/>
  <c r="AL51" i="131"/>
  <c r="AV53" i="131"/>
  <c r="AC33" i="131"/>
  <c r="P53" i="131"/>
  <c r="AV38" i="131"/>
  <c r="AM13" i="131"/>
  <c r="AD50" i="131"/>
  <c r="AM22" i="131"/>
  <c r="U39" i="131"/>
  <c r="AD31" i="131"/>
  <c r="L41" i="131"/>
  <c r="L24" i="131"/>
  <c r="P50" i="131"/>
  <c r="P28" i="131"/>
  <c r="P26" i="131"/>
  <c r="P47" i="131"/>
  <c r="P17" i="131"/>
  <c r="AV28" i="131"/>
  <c r="AV51" i="131"/>
  <c r="AV11" i="131"/>
  <c r="AV29" i="131"/>
  <c r="Q3" i="131"/>
  <c r="Q29" i="131"/>
  <c r="Q28" i="131"/>
  <c r="AL5" i="131"/>
  <c r="AM15" i="131"/>
  <c r="AM28" i="131"/>
  <c r="AL28" i="131"/>
  <c r="AL53" i="131"/>
  <c r="AM9" i="131"/>
  <c r="AD28" i="131"/>
  <c r="AV24" i="131"/>
  <c r="AU12" i="131"/>
  <c r="AD46" i="131"/>
  <c r="Q46" i="131"/>
  <c r="AV7" i="131"/>
  <c r="AV42" i="131"/>
  <c r="AU50" i="131"/>
  <c r="AV34" i="131"/>
  <c r="AV15" i="131"/>
  <c r="AD29" i="131"/>
  <c r="AC13" i="131"/>
  <c r="AM31" i="131"/>
  <c r="AM42" i="131"/>
  <c r="AL44" i="131"/>
  <c r="AM47" i="131"/>
  <c r="T45" i="131"/>
  <c r="U51" i="131"/>
  <c r="AD37" i="131"/>
  <c r="AC32" i="131"/>
  <c r="AD5" i="131"/>
  <c r="AC47" i="131"/>
  <c r="AD8" i="131"/>
  <c r="U52" i="131"/>
  <c r="U40" i="131"/>
  <c r="S48" i="131"/>
  <c r="T42" i="131"/>
  <c r="T32" i="131"/>
  <c r="T52" i="131"/>
  <c r="T39" i="131"/>
  <c r="S20" i="131"/>
  <c r="U29" i="131"/>
  <c r="U20" i="131"/>
  <c r="T7" i="131"/>
  <c r="U21" i="131"/>
  <c r="S42" i="131"/>
  <c r="S41" i="131"/>
  <c r="S37" i="131"/>
  <c r="S31" i="131"/>
  <c r="T35" i="131"/>
  <c r="L19" i="131"/>
  <c r="L26" i="131"/>
  <c r="Q34" i="131"/>
  <c r="Q7" i="131"/>
  <c r="Q24" i="131"/>
  <c r="Q38" i="131"/>
  <c r="P31" i="131"/>
  <c r="AV49" i="131"/>
  <c r="AU24" i="131"/>
  <c r="AV44" i="131"/>
  <c r="Q53" i="131"/>
  <c r="Q11" i="131"/>
  <c r="Q18" i="131"/>
  <c r="AM50" i="131"/>
  <c r="AL17" i="131"/>
  <c r="AL24" i="131"/>
  <c r="AC30" i="131"/>
  <c r="P46" i="131"/>
  <c r="AV50" i="131"/>
  <c r="AU52" i="131"/>
  <c r="AU28" i="131"/>
  <c r="AM26" i="131"/>
  <c r="AM6" i="131"/>
  <c r="AL9" i="131"/>
  <c r="AL8" i="131"/>
  <c r="AL7" i="131"/>
  <c r="U49" i="131"/>
  <c r="AD12" i="131"/>
  <c r="AC6" i="131"/>
  <c r="AD15" i="131"/>
  <c r="AD44" i="131"/>
  <c r="AD6" i="131"/>
  <c r="AD32" i="131"/>
  <c r="AD26" i="131"/>
  <c r="U18" i="131"/>
  <c r="U45" i="131"/>
  <c r="AC37" i="131"/>
  <c r="S5" i="131"/>
  <c r="S26" i="131"/>
  <c r="S23" i="131"/>
  <c r="U27" i="131"/>
  <c r="T33" i="131"/>
  <c r="S21" i="131"/>
  <c r="U12" i="131"/>
  <c r="S34" i="131"/>
  <c r="S32" i="131"/>
  <c r="U26" i="131"/>
  <c r="L10" i="131"/>
  <c r="L6" i="131"/>
  <c r="Q6" i="131"/>
  <c r="Q23" i="131"/>
  <c r="Q14" i="131"/>
  <c r="Q41" i="131"/>
  <c r="P48" i="131"/>
  <c r="P37" i="131"/>
  <c r="P8" i="131"/>
  <c r="AV9" i="131"/>
  <c r="AU27" i="131"/>
  <c r="Q22" i="131"/>
  <c r="Q44" i="131"/>
  <c r="AM37" i="131"/>
  <c r="AM49" i="131"/>
  <c r="AM51" i="131"/>
  <c r="AM44" i="131"/>
  <c r="AU20" i="131"/>
  <c r="AV46" i="131"/>
  <c r="AV8" i="131"/>
  <c r="P22" i="131"/>
  <c r="AV14" i="131"/>
  <c r="AV52" i="131"/>
  <c r="AU38" i="131"/>
  <c r="AC42" i="131"/>
  <c r="AC51" i="131"/>
  <c r="AD38" i="131"/>
  <c r="AL37" i="131"/>
  <c r="AM14" i="131"/>
  <c r="AM19" i="131"/>
  <c r="AM23" i="131"/>
  <c r="AD9" i="131"/>
  <c r="AC14" i="131"/>
  <c r="AD43" i="131"/>
  <c r="AD41" i="131"/>
  <c r="AC26" i="131"/>
  <c r="AC46" i="131"/>
  <c r="AD39" i="131"/>
  <c r="T44" i="131"/>
  <c r="AC45" i="131"/>
  <c r="T9" i="131"/>
  <c r="T18" i="131"/>
  <c r="S29" i="131"/>
  <c r="S8" i="131"/>
  <c r="T8" i="131"/>
  <c r="S7" i="131"/>
  <c r="U30" i="131"/>
  <c r="T12" i="131"/>
  <c r="U11" i="131"/>
  <c r="T26" i="131"/>
  <c r="T6" i="131"/>
  <c r="T23" i="131"/>
  <c r="U3" i="131"/>
  <c r="Q31" i="131"/>
  <c r="Q32" i="131"/>
  <c r="Q9" i="131"/>
  <c r="Q17" i="131"/>
  <c r="Q33" i="131"/>
  <c r="Q42" i="131"/>
  <c r="P51" i="131"/>
  <c r="P14" i="131"/>
  <c r="P30" i="131"/>
  <c r="P45" i="131"/>
  <c r="P23" i="131"/>
  <c r="P34" i="131"/>
  <c r="Q8" i="131"/>
  <c r="Q50" i="131"/>
  <c r="P6" i="131"/>
  <c r="AL13" i="131"/>
  <c r="AM18" i="131"/>
  <c r="AM45" i="131"/>
  <c r="AM3" i="131"/>
  <c r="AV6" i="131"/>
  <c r="P41" i="131"/>
  <c r="P10" i="131"/>
  <c r="P18" i="131"/>
  <c r="AV12" i="131"/>
  <c r="AU10" i="131"/>
  <c r="AU26" i="131"/>
  <c r="AU41" i="131"/>
  <c r="AV26" i="131"/>
  <c r="AV32" i="131"/>
  <c r="AD45" i="131"/>
  <c r="AC41" i="131"/>
  <c r="AD24" i="131"/>
  <c r="AC11" i="131"/>
  <c r="AL20" i="131"/>
  <c r="AM33" i="131"/>
  <c r="AL22" i="131"/>
  <c r="AM10" i="131"/>
  <c r="AC5" i="131"/>
  <c r="U32" i="131"/>
  <c r="U37" i="131"/>
  <c r="AU5" i="131"/>
  <c r="AD35" i="131"/>
  <c r="AC52" i="131"/>
  <c r="AD42" i="131"/>
  <c r="AD34" i="131"/>
  <c r="AD52" i="131"/>
  <c r="AC43" i="131"/>
  <c r="AC48" i="131"/>
  <c r="T48" i="131"/>
  <c r="AD7" i="131"/>
  <c r="U15" i="131"/>
  <c r="U50" i="131"/>
  <c r="AC53" i="131"/>
  <c r="S47" i="131"/>
  <c r="T37" i="131"/>
  <c r="U22" i="131"/>
  <c r="T19" i="131"/>
  <c r="U28" i="131"/>
  <c r="U19" i="131"/>
  <c r="T11" i="131"/>
  <c r="U7" i="131"/>
  <c r="S33" i="131"/>
  <c r="S19" i="131"/>
  <c r="S3" i="131"/>
  <c r="U5" i="131"/>
  <c r="L42" i="131"/>
  <c r="AB34" i="128"/>
  <c r="AK34" i="131"/>
  <c r="AB5" i="128"/>
  <c r="AK5" i="131"/>
  <c r="AB20" i="128"/>
  <c r="AK20" i="131"/>
  <c r="AB43" i="128"/>
  <c r="AK43" i="131"/>
  <c r="AB15" i="128"/>
  <c r="AK15" i="131"/>
  <c r="AB12" i="128"/>
  <c r="AK12" i="131"/>
  <c r="AB38" i="128"/>
  <c r="AK38" i="131"/>
  <c r="AB27" i="128"/>
  <c r="AK27" i="131"/>
  <c r="AB41" i="128"/>
  <c r="AK41" i="131"/>
  <c r="AB28" i="128"/>
  <c r="AK28" i="131"/>
  <c r="AB49" i="128"/>
  <c r="AK49" i="131"/>
  <c r="AB4" i="128"/>
  <c r="N4" i="131" s="1"/>
  <c r="AK4" i="131"/>
  <c r="AB10" i="128"/>
  <c r="AK10" i="131"/>
  <c r="AC29" i="128"/>
  <c r="AT29" i="131"/>
  <c r="AC7" i="128"/>
  <c r="AT7" i="131"/>
  <c r="BK8" i="128"/>
  <c r="AU8" i="131"/>
  <c r="AC10" i="128"/>
  <c r="AT10" i="131"/>
  <c r="AC25" i="128"/>
  <c r="O25" i="131" s="1"/>
  <c r="AT25" i="131"/>
  <c r="BK9" i="128"/>
  <c r="AU9" i="131"/>
  <c r="BK23" i="128"/>
  <c r="AU23" i="131"/>
  <c r="BK53" i="128"/>
  <c r="AU53" i="131"/>
  <c r="AC48" i="128"/>
  <c r="AT48" i="131"/>
  <c r="AC20" i="128"/>
  <c r="AT20" i="131"/>
  <c r="BK44" i="128"/>
  <c r="AU44" i="131"/>
  <c r="AC44" i="128"/>
  <c r="AT44" i="131"/>
  <c r="BK39" i="128"/>
  <c r="AU39" i="131"/>
  <c r="BK15" i="128"/>
  <c r="AU15" i="131"/>
  <c r="AC13" i="128"/>
  <c r="AT13" i="131"/>
  <c r="BB21" i="128"/>
  <c r="AL21" i="131"/>
  <c r="BB35" i="128"/>
  <c r="AL35" i="131"/>
  <c r="BB46" i="128"/>
  <c r="AL46" i="131"/>
  <c r="BB41" i="128"/>
  <c r="AL41" i="131"/>
  <c r="BB43" i="128"/>
  <c r="AL43" i="131"/>
  <c r="AA38" i="128"/>
  <c r="AB38" i="131"/>
  <c r="AA35" i="128"/>
  <c r="AB35" i="131"/>
  <c r="AS27" i="128"/>
  <c r="AC27" i="131"/>
  <c r="AS3" i="128"/>
  <c r="AC3" i="131"/>
  <c r="AS49" i="128"/>
  <c r="AC49" i="131"/>
  <c r="AA7" i="128"/>
  <c r="AB7" i="131"/>
  <c r="AC19" i="128"/>
  <c r="AT19" i="131"/>
  <c r="AC6" i="128"/>
  <c r="AT6" i="131"/>
  <c r="BK35" i="128"/>
  <c r="AU35" i="131"/>
  <c r="BK40" i="128"/>
  <c r="AU40" i="131"/>
  <c r="AC28" i="128"/>
  <c r="AT28" i="131"/>
  <c r="BK19" i="128"/>
  <c r="AU19" i="131"/>
  <c r="AC51" i="128"/>
  <c r="AT51" i="131"/>
  <c r="AC45" i="128"/>
  <c r="AT45" i="131"/>
  <c r="BK33" i="128"/>
  <c r="AU33" i="131"/>
  <c r="AA28" i="128"/>
  <c r="AB28" i="131"/>
  <c r="AA18" i="128"/>
  <c r="AB18" i="131"/>
  <c r="BB19" i="128"/>
  <c r="AL19" i="131"/>
  <c r="AA12" i="128"/>
  <c r="AB12" i="131"/>
  <c r="AA26" i="128"/>
  <c r="AB26" i="131"/>
  <c r="AA8" i="128"/>
  <c r="AB8" i="131"/>
  <c r="AA33" i="128"/>
  <c r="M33" i="131" s="1"/>
  <c r="AB33" i="131"/>
  <c r="AS35" i="128"/>
  <c r="AC35" i="131"/>
  <c r="AS16" i="128"/>
  <c r="AC16" i="131"/>
  <c r="AA15" i="128"/>
  <c r="M15" i="131" s="1"/>
  <c r="AB15" i="131"/>
  <c r="AS22" i="128"/>
  <c r="AC22" i="131"/>
  <c r="AA25" i="128"/>
  <c r="M25" i="131" s="1"/>
  <c r="AB25" i="131"/>
  <c r="Z50" i="128"/>
  <c r="S50" i="131"/>
  <c r="AJ13" i="128"/>
  <c r="T13" i="131"/>
  <c r="AJ52" i="128"/>
  <c r="S52" i="131"/>
  <c r="AJ14" i="128"/>
  <c r="S14" i="131"/>
  <c r="AJ21" i="128"/>
  <c r="T21" i="131"/>
  <c r="AJ31" i="128"/>
  <c r="T31" i="131"/>
  <c r="Z53" i="128"/>
  <c r="L53" i="131" s="1"/>
  <c r="S53" i="131"/>
  <c r="Z45" i="128"/>
  <c r="L45" i="131" s="1"/>
  <c r="S45" i="131"/>
  <c r="Z12" i="128"/>
  <c r="L16" i="131" s="1"/>
  <c r="S12" i="131"/>
  <c r="AJ16" i="128"/>
  <c r="T16" i="131"/>
  <c r="Z15" i="128"/>
  <c r="S15" i="131"/>
  <c r="AJ22" i="128"/>
  <c r="S22" i="131"/>
  <c r="Z9" i="128"/>
  <c r="S9" i="131"/>
  <c r="AB6" i="128"/>
  <c r="AK6" i="131"/>
  <c r="AB29" i="128"/>
  <c r="AK29" i="131"/>
  <c r="AB8" i="128"/>
  <c r="AK8" i="131"/>
  <c r="AB16" i="128"/>
  <c r="AK16" i="131"/>
  <c r="AB23" i="128"/>
  <c r="AK23" i="131"/>
  <c r="AB19" i="128"/>
  <c r="AK19" i="131"/>
  <c r="AB44" i="128"/>
  <c r="AK44" i="131"/>
  <c r="AB21" i="128"/>
  <c r="AK21" i="131"/>
  <c r="AB26" i="128"/>
  <c r="AK26" i="131"/>
  <c r="AB33" i="128"/>
  <c r="AK33" i="131"/>
  <c r="AB40" i="128"/>
  <c r="AK40" i="131"/>
  <c r="AB39" i="128"/>
  <c r="AK39" i="131"/>
  <c r="AB11" i="128"/>
  <c r="AK11" i="131"/>
  <c r="AC42" i="128"/>
  <c r="AT42" i="131"/>
  <c r="BK4" i="128"/>
  <c r="AU4" i="131"/>
  <c r="AC50" i="128"/>
  <c r="AT50" i="131"/>
  <c r="AC11" i="128"/>
  <c r="AT11" i="131"/>
  <c r="AC8" i="128"/>
  <c r="AT8" i="131"/>
  <c r="AC16" i="128"/>
  <c r="AT16" i="131"/>
  <c r="BK18" i="128"/>
  <c r="AU18" i="131"/>
  <c r="AC14" i="128"/>
  <c r="AT14" i="131"/>
  <c r="AC23" i="128"/>
  <c r="AT23" i="131"/>
  <c r="BK43" i="128"/>
  <c r="AU43" i="131"/>
  <c r="AC43" i="128"/>
  <c r="AT43" i="131"/>
  <c r="BK49" i="128"/>
  <c r="AU49" i="131"/>
  <c r="BK37" i="128"/>
  <c r="AU37" i="131"/>
  <c r="AC53" i="128"/>
  <c r="AT53" i="131"/>
  <c r="BB31" i="128"/>
  <c r="AL31" i="131"/>
  <c r="BB3" i="128"/>
  <c r="AL3" i="131"/>
  <c r="BB49" i="128"/>
  <c r="AL49" i="131"/>
  <c r="BB18" i="128"/>
  <c r="AL18" i="131"/>
  <c r="BB16" i="128"/>
  <c r="AL16" i="131"/>
  <c r="AA40" i="128"/>
  <c r="AV40" i="128" s="1"/>
  <c r="AB40" i="131"/>
  <c r="AC33" i="128"/>
  <c r="AT33" i="131"/>
  <c r="AA14" i="128"/>
  <c r="AB14" i="131"/>
  <c r="AA44" i="128"/>
  <c r="AB44" i="131"/>
  <c r="AA50" i="128"/>
  <c r="AB50" i="131"/>
  <c r="AC46" i="128"/>
  <c r="AT46" i="131"/>
  <c r="AC34" i="128"/>
  <c r="AT34" i="131"/>
  <c r="BK25" i="128"/>
  <c r="AU25" i="131"/>
  <c r="BK32" i="128"/>
  <c r="AU32" i="131"/>
  <c r="AC15" i="128"/>
  <c r="AT15" i="131"/>
  <c r="AC49" i="128"/>
  <c r="AT49" i="131"/>
  <c r="AC31" i="128"/>
  <c r="O31" i="131" s="1"/>
  <c r="AT31" i="131"/>
  <c r="AA21" i="128"/>
  <c r="AV21" i="128" s="1"/>
  <c r="AB21" i="131"/>
  <c r="BB47" i="128"/>
  <c r="AL47" i="131"/>
  <c r="AJ30" i="128"/>
  <c r="T30" i="131"/>
  <c r="AJ43" i="128"/>
  <c r="T43" i="131"/>
  <c r="AA31" i="128"/>
  <c r="AV31" i="128" s="1"/>
  <c r="AB31" i="131"/>
  <c r="AA42" i="128"/>
  <c r="AB42" i="131"/>
  <c r="AA11" i="128"/>
  <c r="AB11" i="131"/>
  <c r="AA43" i="128"/>
  <c r="AB43" i="131"/>
  <c r="AA34" i="128"/>
  <c r="AB34" i="131"/>
  <c r="AA47" i="128"/>
  <c r="AV47" i="128" s="1"/>
  <c r="AB47" i="131"/>
  <c r="AA51" i="128"/>
  <c r="AV51" i="128" s="1"/>
  <c r="AB51" i="131"/>
  <c r="AA16" i="128"/>
  <c r="AB16" i="131"/>
  <c r="AC41" i="128"/>
  <c r="AT41" i="131"/>
  <c r="AA27" i="128"/>
  <c r="AB27" i="131"/>
  <c r="AA22" i="128"/>
  <c r="AB22" i="131"/>
  <c r="AB22" i="128"/>
  <c r="AK22" i="131"/>
  <c r="AB17" i="128"/>
  <c r="AK17" i="131"/>
  <c r="AB53" i="128"/>
  <c r="AK53" i="131"/>
  <c r="AB7" i="128"/>
  <c r="AK7" i="131"/>
  <c r="AB9" i="128"/>
  <c r="AK9" i="131"/>
  <c r="AB31" i="128"/>
  <c r="BE31" i="128" s="1"/>
  <c r="AK31" i="131"/>
  <c r="AB35" i="128"/>
  <c r="N35" i="131" s="1"/>
  <c r="AK35" i="131"/>
  <c r="AB50" i="128"/>
  <c r="AK50" i="131"/>
  <c r="AB51" i="128"/>
  <c r="AK51" i="131"/>
  <c r="AB18" i="128"/>
  <c r="AK18" i="131"/>
  <c r="AB46" i="128"/>
  <c r="AK46" i="131"/>
  <c r="AB25" i="128"/>
  <c r="N25" i="131" s="1"/>
  <c r="AK25" i="131"/>
  <c r="AB30" i="128"/>
  <c r="AK30" i="131"/>
  <c r="AC38" i="128"/>
  <c r="AT38" i="131"/>
  <c r="BK21" i="128"/>
  <c r="AU21" i="131"/>
  <c r="AC3" i="128"/>
  <c r="AT3" i="131"/>
  <c r="AC9" i="128"/>
  <c r="AT9" i="131"/>
  <c r="AC22" i="128"/>
  <c r="AT22" i="131"/>
  <c r="AC21" i="128"/>
  <c r="AT21" i="131"/>
  <c r="AC5" i="128"/>
  <c r="AT5" i="131"/>
  <c r="AC30" i="128"/>
  <c r="AT30" i="131"/>
  <c r="BB32" i="128"/>
  <c r="AL32" i="131"/>
  <c r="BB33" i="128"/>
  <c r="AL33" i="131"/>
  <c r="BB11" i="128"/>
  <c r="AL11" i="131"/>
  <c r="BB40" i="128"/>
  <c r="AL40" i="131"/>
  <c r="AC39" i="128"/>
  <c r="AT39" i="131"/>
  <c r="AC37" i="128"/>
  <c r="AT37" i="131"/>
  <c r="AA32" i="128"/>
  <c r="AB32" i="131"/>
  <c r="AS40" i="128"/>
  <c r="AC40" i="131"/>
  <c r="AA45" i="128"/>
  <c r="AB45" i="131"/>
  <c r="AS23" i="128"/>
  <c r="AC23" i="131"/>
  <c r="AC47" i="128"/>
  <c r="AT47" i="131"/>
  <c r="AC52" i="128"/>
  <c r="AT52" i="131"/>
  <c r="AC40" i="128"/>
  <c r="AT40" i="131"/>
  <c r="AC4" i="128"/>
  <c r="O4" i="131" s="1"/>
  <c r="AT4" i="131"/>
  <c r="AC35" i="128"/>
  <c r="AT35" i="131"/>
  <c r="BK48" i="128"/>
  <c r="AU48" i="131"/>
  <c r="AS18" i="128"/>
  <c r="AC18" i="131"/>
  <c r="AA48" i="128"/>
  <c r="AB48" i="131"/>
  <c r="BB42" i="128"/>
  <c r="AL42" i="131"/>
  <c r="BB26" i="128"/>
  <c r="AL26" i="131"/>
  <c r="BB25" i="128"/>
  <c r="AL25" i="131"/>
  <c r="AJ47" i="128"/>
  <c r="T47" i="131"/>
  <c r="AA23" i="128"/>
  <c r="AB23" i="131"/>
  <c r="AA41" i="128"/>
  <c r="AB41" i="131"/>
  <c r="AA52" i="128"/>
  <c r="AB52" i="131"/>
  <c r="AA13" i="128"/>
  <c r="AB13" i="131"/>
  <c r="AA24" i="128"/>
  <c r="M24" i="131" s="1"/>
  <c r="AB24" i="131"/>
  <c r="AS24" i="128"/>
  <c r="AC24" i="131"/>
  <c r="AS25" i="128"/>
  <c r="AC25" i="131"/>
  <c r="AA37" i="128"/>
  <c r="AB37" i="131"/>
  <c r="AA10" i="128"/>
  <c r="M10" i="131" s="1"/>
  <c r="AB10" i="131"/>
  <c r="AA6" i="128"/>
  <c r="AB6" i="131"/>
  <c r="AA17" i="128"/>
  <c r="AB17" i="131"/>
  <c r="AA39" i="128"/>
  <c r="M39" i="131" s="1"/>
  <c r="AB39" i="131"/>
  <c r="AA49" i="128"/>
  <c r="AB49" i="131"/>
  <c r="AA46" i="128"/>
  <c r="AB46" i="131"/>
  <c r="AV34" i="128"/>
  <c r="L34" i="131"/>
  <c r="AB3" i="128"/>
  <c r="AK3" i="131"/>
  <c r="AB36" i="128"/>
  <c r="N36" i="131" s="1"/>
  <c r="AK36" i="131"/>
  <c r="AB24" i="128"/>
  <c r="AK24" i="131"/>
  <c r="AB37" i="128"/>
  <c r="AK37" i="131"/>
  <c r="AB48" i="128"/>
  <c r="AK48" i="131"/>
  <c r="AB45" i="128"/>
  <c r="AK45" i="131"/>
  <c r="AB42" i="128"/>
  <c r="AK42" i="131"/>
  <c r="AB52" i="128"/>
  <c r="AK52" i="131"/>
  <c r="AB14" i="128"/>
  <c r="AK14" i="131"/>
  <c r="AB13" i="128"/>
  <c r="AK13" i="131"/>
  <c r="AB32" i="128"/>
  <c r="AK32" i="131"/>
  <c r="AB47" i="128"/>
  <c r="AK47" i="131"/>
  <c r="BK16" i="128"/>
  <c r="AU16" i="131"/>
  <c r="AC27" i="128"/>
  <c r="AT27" i="131"/>
  <c r="BK46" i="128"/>
  <c r="AU46" i="131"/>
  <c r="BK45" i="128"/>
  <c r="AU45" i="131"/>
  <c r="AC26" i="128"/>
  <c r="AT26" i="131"/>
  <c r="AC18" i="128"/>
  <c r="AT18" i="131"/>
  <c r="BK36" i="128"/>
  <c r="AU36" i="131"/>
  <c r="BK17" i="128"/>
  <c r="AU17" i="131"/>
  <c r="BK47" i="128"/>
  <c r="AU47" i="131"/>
  <c r="AC24" i="128"/>
  <c r="AT24" i="131"/>
  <c r="AC17" i="128"/>
  <c r="AT17" i="131"/>
  <c r="BB15" i="128"/>
  <c r="AL15" i="131"/>
  <c r="BB23" i="128"/>
  <c r="AL23" i="131"/>
  <c r="BB30" i="128"/>
  <c r="AL30" i="131"/>
  <c r="BB29" i="128"/>
  <c r="AL29" i="131"/>
  <c r="BB50" i="128"/>
  <c r="AL50" i="131"/>
  <c r="BB45" i="128"/>
  <c r="AL45" i="131"/>
  <c r="BK7" i="128"/>
  <c r="AU7" i="131"/>
  <c r="AA36" i="128"/>
  <c r="M36" i="131" s="1"/>
  <c r="AB36" i="131"/>
  <c r="AA53" i="128"/>
  <c r="AB53" i="131"/>
  <c r="AS19" i="128"/>
  <c r="AC19" i="131"/>
  <c r="AS29" i="128"/>
  <c r="AC29" i="131"/>
  <c r="AC32" i="128"/>
  <c r="AT32" i="131"/>
  <c r="AC36" i="128"/>
  <c r="O36" i="131" s="1"/>
  <c r="AT36" i="131"/>
  <c r="BK34" i="128"/>
  <c r="AU34" i="131"/>
  <c r="BK31" i="128"/>
  <c r="AU31" i="131"/>
  <c r="AC12" i="128"/>
  <c r="AT12" i="131"/>
  <c r="BK3" i="128"/>
  <c r="AU3" i="131"/>
  <c r="BK30" i="128"/>
  <c r="AU30" i="131"/>
  <c r="AA30" i="128"/>
  <c r="AB30" i="131"/>
  <c r="AA3" i="128"/>
  <c r="AB3" i="131"/>
  <c r="AA5" i="128"/>
  <c r="AB5" i="131"/>
  <c r="BB34" i="128"/>
  <c r="AL34" i="131"/>
  <c r="AJ34" i="128"/>
  <c r="T34" i="131"/>
  <c r="AJ46" i="128"/>
  <c r="T46" i="131"/>
  <c r="AJ40" i="128"/>
  <c r="T40" i="131"/>
  <c r="AJ49" i="128"/>
  <c r="T49" i="131"/>
  <c r="BB10" i="128"/>
  <c r="AL10" i="131"/>
  <c r="AS34" i="128"/>
  <c r="AC34" i="131"/>
  <c r="AA4" i="128"/>
  <c r="M4" i="131" s="1"/>
  <c r="AB4" i="131"/>
  <c r="AA9" i="128"/>
  <c r="AB9" i="131"/>
  <c r="AA29" i="128"/>
  <c r="M29" i="131" s="1"/>
  <c r="AB29" i="131"/>
  <c r="AJ36" i="128"/>
  <c r="T36" i="131"/>
  <c r="AA20" i="128"/>
  <c r="AB20" i="131"/>
  <c r="Z44" i="128"/>
  <c r="L44" i="131" s="1"/>
  <c r="S44" i="131"/>
  <c r="AA19" i="128"/>
  <c r="AB19" i="131"/>
  <c r="AJ127" i="128"/>
  <c r="P108" i="128"/>
  <c r="P76" i="128"/>
  <c r="AS13" i="128"/>
  <c r="AJ125" i="128"/>
  <c r="AJ18" i="128"/>
  <c r="AJ29" i="128"/>
  <c r="AS28" i="128"/>
  <c r="AS86" i="128"/>
  <c r="AS79" i="128"/>
  <c r="AS93" i="128"/>
  <c r="AS54" i="128"/>
  <c r="CC35" i="128"/>
  <c r="AS119" i="128"/>
  <c r="AJ69" i="128"/>
  <c r="AJ88" i="128"/>
  <c r="AJ102" i="128"/>
  <c r="AS59" i="128"/>
  <c r="BK67" i="128"/>
  <c r="BK115" i="128"/>
  <c r="BK101" i="128"/>
  <c r="BK110" i="128"/>
  <c r="CC56" i="128"/>
  <c r="BK91" i="128"/>
  <c r="BK87" i="128"/>
  <c r="BK95" i="128"/>
  <c r="BK126" i="128"/>
  <c r="BK100" i="128"/>
  <c r="BK10" i="128"/>
  <c r="AJ51" i="128"/>
  <c r="BB114" i="128"/>
  <c r="BB72" i="128"/>
  <c r="AJ72" i="128"/>
  <c r="AJ73" i="128"/>
  <c r="AS73" i="128"/>
  <c r="AJ7" i="128"/>
  <c r="CC7" i="128"/>
  <c r="CC9" i="128"/>
  <c r="BK74" i="128"/>
  <c r="BK113" i="128"/>
  <c r="Z113" i="128"/>
  <c r="BE113" i="128" s="1"/>
  <c r="Z28" i="128"/>
  <c r="L28" i="131" s="1"/>
  <c r="AS114" i="128"/>
  <c r="Z125" i="128"/>
  <c r="BE125" i="128" s="1"/>
  <c r="AJ116" i="128"/>
  <c r="Z59" i="128"/>
  <c r="BE59" i="128" s="1"/>
  <c r="AS69" i="128"/>
  <c r="BK72" i="128"/>
  <c r="BB7" i="128"/>
  <c r="Z73" i="128"/>
  <c r="BN73" i="128" s="1"/>
  <c r="AJ15" i="128"/>
  <c r="AJ10" i="128"/>
  <c r="Z22" i="128"/>
  <c r="AS53" i="128"/>
  <c r="P68" i="128"/>
  <c r="CC50" i="128"/>
  <c r="Z97" i="128"/>
  <c r="CF97" i="128" s="1"/>
  <c r="AJ97" i="128"/>
  <c r="AJ80" i="128"/>
  <c r="Z80" i="128"/>
  <c r="CF80" i="128" s="1"/>
  <c r="Z8" i="128"/>
  <c r="L8" i="131" s="1"/>
  <c r="AS8" i="128"/>
  <c r="Z88" i="128"/>
  <c r="AV88" i="128" s="1"/>
  <c r="AS88" i="128"/>
  <c r="AJ75" i="128"/>
  <c r="Z75" i="128"/>
  <c r="CF75" i="128" s="1"/>
  <c r="AS74" i="128"/>
  <c r="AJ114" i="128"/>
  <c r="BB116" i="128"/>
  <c r="BK59" i="128"/>
  <c r="BB69" i="128"/>
  <c r="AS97" i="128"/>
  <c r="BN62" i="128"/>
  <c r="Z7" i="128"/>
  <c r="L33" i="131" s="1"/>
  <c r="Z35" i="128"/>
  <c r="BK73" i="128"/>
  <c r="Z68" i="128"/>
  <c r="BW68" i="128" s="1"/>
  <c r="AS124" i="128"/>
  <c r="BB22" i="128"/>
  <c r="AJ53" i="128"/>
  <c r="AJ12" i="128"/>
  <c r="BK96" i="128"/>
  <c r="AJ96" i="128"/>
  <c r="BK71" i="128"/>
  <c r="Z81" i="128"/>
  <c r="BW81" i="128" s="1"/>
  <c r="BK81" i="128"/>
  <c r="AJ39" i="128"/>
  <c r="Z39" i="128"/>
  <c r="L39" i="131" s="1"/>
  <c r="BK5" i="128"/>
  <c r="Z5" i="128"/>
  <c r="CF110" i="128"/>
  <c r="CF106" i="128"/>
  <c r="BE101" i="128"/>
  <c r="BN98" i="128"/>
  <c r="CC81" i="128"/>
  <c r="CC75" i="128"/>
  <c r="BT88" i="128"/>
  <c r="CC69" i="128"/>
  <c r="O56" i="128"/>
  <c r="BT45" i="128"/>
  <c r="BT5" i="128"/>
  <c r="BT81" i="128"/>
  <c r="BT75" i="128"/>
  <c r="BT107" i="128"/>
  <c r="BT125" i="128"/>
  <c r="BT96" i="128"/>
  <c r="CC113" i="128"/>
  <c r="BB124" i="128"/>
  <c r="BB97" i="128"/>
  <c r="BB13" i="128"/>
  <c r="AS39" i="128"/>
  <c r="AS9" i="128"/>
  <c r="AS44" i="128"/>
  <c r="AS36" i="128"/>
  <c r="CC8" i="128"/>
  <c r="CC5" i="128"/>
  <c r="CC15" i="128"/>
  <c r="CC12" i="128"/>
  <c r="CC36" i="128"/>
  <c r="CC45" i="128"/>
  <c r="BB12" i="128"/>
  <c r="BW122" i="128"/>
  <c r="AV119" i="128"/>
  <c r="BN54" i="128"/>
  <c r="AV102" i="128"/>
  <c r="CC71" i="128"/>
  <c r="CC107" i="128"/>
  <c r="BT44" i="128"/>
  <c r="BT64" i="128"/>
  <c r="BK13" i="128"/>
  <c r="BK22" i="128"/>
  <c r="BK29" i="128"/>
  <c r="BK51" i="128"/>
  <c r="CC116" i="128"/>
  <c r="BB74" i="128"/>
  <c r="BB5" i="128"/>
  <c r="BB39" i="128"/>
  <c r="BB51" i="128"/>
  <c r="BB59" i="128"/>
  <c r="BB28" i="128"/>
  <c r="BB53" i="128"/>
  <c r="AS50" i="128"/>
  <c r="BK12" i="128"/>
  <c r="AS15" i="128"/>
  <c r="P109" i="128"/>
  <c r="P72" i="128"/>
  <c r="CC53" i="128"/>
  <c r="CC44" i="128"/>
  <c r="CC39" i="128"/>
  <c r="BK50" i="128"/>
  <c r="BB44" i="128"/>
  <c r="AJ45" i="128"/>
  <c r="CC29" i="128"/>
  <c r="BB81" i="128"/>
  <c r="AJ38" i="128"/>
  <c r="P97" i="128"/>
  <c r="BT17" i="128"/>
  <c r="BT104" i="128"/>
  <c r="BK24" i="128"/>
  <c r="BB24" i="128"/>
  <c r="AS31" i="128"/>
  <c r="AS20" i="128"/>
  <c r="P54" i="128"/>
  <c r="P128" i="128"/>
  <c r="BT24" i="128"/>
  <c r="BT105" i="128"/>
  <c r="CC11" i="128"/>
  <c r="AS42" i="128"/>
  <c r="BB37" i="128"/>
  <c r="AJ41" i="128"/>
  <c r="BB84" i="128"/>
  <c r="BK11" i="128"/>
  <c r="CC109" i="128"/>
  <c r="BB54" i="128"/>
  <c r="BB48" i="128"/>
  <c r="BB90" i="128"/>
  <c r="BB126" i="128"/>
  <c r="BB99" i="128"/>
  <c r="CC42" i="128"/>
  <c r="CC41" i="128"/>
  <c r="AS41" i="128"/>
  <c r="AS11" i="128"/>
  <c r="BB20" i="128"/>
  <c r="P62" i="128"/>
  <c r="BK26" i="128"/>
  <c r="P65" i="128"/>
  <c r="P100" i="128"/>
  <c r="CC30" i="128"/>
  <c r="CC49" i="128"/>
  <c r="AS26" i="128"/>
  <c r="BB107" i="128"/>
  <c r="AJ44" i="128"/>
  <c r="BB103" i="128"/>
  <c r="BB83" i="128"/>
  <c r="P118" i="128"/>
  <c r="CC48" i="128"/>
  <c r="P56" i="128"/>
  <c r="P95" i="128"/>
  <c r="AS6" i="128"/>
  <c r="O115" i="128"/>
  <c r="O8" i="128"/>
  <c r="P83" i="128"/>
  <c r="R112" i="128"/>
  <c r="AJ20" i="128"/>
  <c r="P64" i="128"/>
  <c r="AS46" i="128"/>
  <c r="BB86" i="128"/>
  <c r="AJ25" i="128"/>
  <c r="AJ86" i="128"/>
  <c r="O59" i="128"/>
  <c r="AJ124" i="128"/>
  <c r="R86" i="128"/>
  <c r="O68" i="128"/>
  <c r="P101" i="128"/>
  <c r="O5" i="128"/>
  <c r="O113" i="128"/>
  <c r="P107" i="128"/>
  <c r="O54" i="128"/>
  <c r="O90" i="128"/>
  <c r="O32" i="128"/>
  <c r="P90" i="128"/>
  <c r="P60" i="128"/>
  <c r="BW58" i="128"/>
  <c r="R67" i="128"/>
  <c r="P78" i="128"/>
  <c r="P57" i="128"/>
  <c r="AS10" i="128"/>
  <c r="P12" i="128"/>
  <c r="P69" i="128"/>
  <c r="P55" i="128"/>
  <c r="CC10" i="128"/>
  <c r="CC51" i="128"/>
  <c r="AS51" i="128"/>
  <c r="AV54" i="128"/>
  <c r="P96" i="128"/>
  <c r="R93" i="128"/>
  <c r="BT10" i="128"/>
  <c r="P117" i="128"/>
  <c r="P130" i="128"/>
  <c r="BT59" i="128"/>
  <c r="P104" i="128"/>
  <c r="P99" i="128"/>
  <c r="P127" i="128"/>
  <c r="P80" i="128"/>
  <c r="P66" i="128"/>
  <c r="P91" i="128"/>
  <c r="P52" i="128"/>
  <c r="P129" i="128"/>
  <c r="P59" i="128"/>
  <c r="P79" i="128"/>
  <c r="P116" i="128"/>
  <c r="P75" i="128"/>
  <c r="P98" i="128"/>
  <c r="P119" i="128"/>
  <c r="P122" i="128"/>
  <c r="O130" i="128"/>
  <c r="P71" i="128"/>
  <c r="P63" i="128"/>
  <c r="P61" i="128"/>
  <c r="AJ50" i="128"/>
  <c r="P105" i="128"/>
  <c r="P84" i="128"/>
  <c r="O111" i="128"/>
  <c r="P29" i="128"/>
  <c r="O93" i="128"/>
  <c r="R89" i="128"/>
  <c r="P26" i="128"/>
  <c r="P89" i="128"/>
  <c r="P47" i="128"/>
  <c r="R115" i="128"/>
  <c r="BB115" i="128"/>
  <c r="R82" i="128"/>
  <c r="BB82" i="128"/>
  <c r="O82" i="128"/>
  <c r="P94" i="128"/>
  <c r="P103" i="128"/>
  <c r="P110" i="128"/>
  <c r="O119" i="128"/>
  <c r="AJ119" i="128"/>
  <c r="P120" i="128"/>
  <c r="AS94" i="128"/>
  <c r="AJ94" i="128"/>
  <c r="AS76" i="128"/>
  <c r="BB76" i="128"/>
  <c r="BT76" i="128"/>
  <c r="Z76" i="128"/>
  <c r="BE76" i="128" s="1"/>
  <c r="AJ76" i="128"/>
  <c r="R106" i="128"/>
  <c r="AJ106" i="128"/>
  <c r="P121" i="128"/>
  <c r="Z38" i="128"/>
  <c r="L51" i="131" s="1"/>
  <c r="AS38" i="128"/>
  <c r="CC38" i="128"/>
  <c r="BK38" i="128"/>
  <c r="BB38" i="128"/>
  <c r="AJ57" i="128"/>
  <c r="BK57" i="128"/>
  <c r="AS57" i="128"/>
  <c r="AJ27" i="128"/>
  <c r="CC27" i="128"/>
  <c r="Z27" i="128"/>
  <c r="L30" i="131" s="1"/>
  <c r="AJ68" i="128"/>
  <c r="BB68" i="128"/>
  <c r="BT68" i="128"/>
  <c r="AS68" i="128"/>
  <c r="BE74" i="128"/>
  <c r="P87" i="128"/>
  <c r="BK52" i="128"/>
  <c r="BB52" i="128"/>
  <c r="CC52" i="128"/>
  <c r="AS52" i="128"/>
  <c r="Z52" i="128"/>
  <c r="L21" i="131" s="1"/>
  <c r="AS112" i="128"/>
  <c r="AJ112" i="128"/>
  <c r="BT112" i="128"/>
  <c r="Z14" i="128"/>
  <c r="L17" i="131" s="1"/>
  <c r="BK14" i="128"/>
  <c r="AS14" i="128"/>
  <c r="BK121" i="128"/>
  <c r="AJ121" i="128"/>
  <c r="BB121" i="128"/>
  <c r="Z121" i="128"/>
  <c r="CF121" i="128" s="1"/>
  <c r="AJ111" i="128"/>
  <c r="BK111" i="128"/>
  <c r="Z111" i="128"/>
  <c r="BW111" i="128" s="1"/>
  <c r="BB111" i="128"/>
  <c r="O21" i="128"/>
  <c r="O4" i="128"/>
  <c r="BB4" i="128"/>
  <c r="BB6" i="128"/>
  <c r="O6" i="128"/>
  <c r="BB36" i="128"/>
  <c r="R90" i="128"/>
  <c r="O52" i="128"/>
  <c r="AD12" i="128"/>
  <c r="P16" i="131" s="1"/>
  <c r="O11" i="128"/>
  <c r="BT11" i="128"/>
  <c r="O24" i="128"/>
  <c r="BT55" i="128"/>
  <c r="O55" i="128"/>
  <c r="BT90" i="128"/>
  <c r="R119" i="128"/>
  <c r="O86" i="128"/>
  <c r="O43" i="128"/>
  <c r="R130" i="128"/>
  <c r="O39" i="128"/>
  <c r="R55" i="128"/>
  <c r="BW102" i="128"/>
  <c r="O99" i="128"/>
  <c r="P23" i="128"/>
  <c r="P41" i="128"/>
  <c r="BT27" i="128"/>
  <c r="P39" i="128"/>
  <c r="BT38" i="128"/>
  <c r="BT94" i="128"/>
  <c r="BB57" i="128"/>
  <c r="P67" i="128"/>
  <c r="P114" i="128"/>
  <c r="P86" i="128"/>
  <c r="P93" i="128"/>
  <c r="CC14" i="128"/>
  <c r="O103" i="128"/>
  <c r="R127" i="128"/>
  <c r="R64" i="128"/>
  <c r="CC111" i="128"/>
  <c r="R97" i="128"/>
  <c r="CC57" i="128"/>
  <c r="O29" i="128"/>
  <c r="P34" i="128"/>
  <c r="BT50" i="128"/>
  <c r="BK27" i="128"/>
  <c r="P74" i="128"/>
  <c r="O70" i="128"/>
  <c r="O106" i="128"/>
  <c r="O76" i="128"/>
  <c r="O22" i="128"/>
  <c r="BT52" i="128"/>
  <c r="P33" i="128"/>
  <c r="P37" i="128"/>
  <c r="P88" i="128"/>
  <c r="P85" i="128"/>
  <c r="P73" i="128"/>
  <c r="CC93" i="128"/>
  <c r="O36" i="128"/>
  <c r="CC68" i="128"/>
  <c r="O98" i="128"/>
  <c r="O102" i="128"/>
  <c r="O13" i="128"/>
  <c r="R92" i="128"/>
  <c r="P24" i="128"/>
  <c r="O97" i="128"/>
  <c r="BT102" i="128"/>
  <c r="P14" i="128"/>
  <c r="O44" i="128"/>
  <c r="CC97" i="128"/>
  <c r="CC89" i="128"/>
  <c r="O40" i="128"/>
  <c r="P106" i="128"/>
  <c r="P82" i="128"/>
  <c r="O101" i="128"/>
  <c r="CF58" i="128"/>
  <c r="P6" i="128"/>
  <c r="P58" i="128"/>
  <c r="CC106" i="128"/>
  <c r="R70" i="128"/>
  <c r="O69" i="128"/>
  <c r="P28" i="128"/>
  <c r="CC70" i="128"/>
  <c r="R103" i="128"/>
  <c r="O57" i="128"/>
  <c r="R111" i="128"/>
  <c r="R69" i="128"/>
  <c r="BE85" i="128"/>
  <c r="R57" i="128"/>
  <c r="O25" i="128"/>
  <c r="CC103" i="128"/>
  <c r="O127" i="128"/>
  <c r="R59" i="128"/>
  <c r="BT8" i="128"/>
  <c r="O94" i="128"/>
  <c r="R84" i="128"/>
  <c r="P18" i="128"/>
  <c r="BT111" i="128"/>
  <c r="BT29" i="128"/>
  <c r="BT57" i="128"/>
  <c r="O51" i="128"/>
  <c r="P15" i="128"/>
  <c r="P3" i="128"/>
  <c r="R117" i="128"/>
  <c r="R102" i="128"/>
  <c r="CC127" i="128"/>
  <c r="R77" i="128"/>
  <c r="R74" i="128"/>
  <c r="R104" i="128"/>
  <c r="O46" i="128"/>
  <c r="O33" i="128"/>
  <c r="P124" i="128"/>
  <c r="R87" i="128"/>
  <c r="R79" i="128"/>
  <c r="O23" i="128"/>
  <c r="O112" i="128"/>
  <c r="BN85" i="128"/>
  <c r="CC77" i="128"/>
  <c r="O108" i="128"/>
  <c r="P4" i="128"/>
  <c r="J4" i="131" s="1"/>
  <c r="P112" i="128"/>
  <c r="O88" i="128"/>
  <c r="O110" i="128"/>
  <c r="O37" i="128"/>
  <c r="O60" i="128"/>
  <c r="R113" i="128"/>
  <c r="P123" i="128"/>
  <c r="R62" i="128"/>
  <c r="R100" i="128"/>
  <c r="R58" i="128"/>
  <c r="R108" i="128"/>
  <c r="BT32" i="128"/>
  <c r="BT62" i="128"/>
  <c r="R88" i="128"/>
  <c r="O89" i="128"/>
  <c r="BT46" i="128"/>
  <c r="O45" i="128"/>
  <c r="CC104" i="128"/>
  <c r="CC112" i="128"/>
  <c r="O77" i="128"/>
  <c r="O81" i="128"/>
  <c r="CF95" i="128"/>
  <c r="BW95" i="128"/>
  <c r="O12" i="128"/>
  <c r="O92" i="128"/>
  <c r="R123" i="128"/>
  <c r="O121" i="128"/>
  <c r="O67" i="128"/>
  <c r="R80" i="128"/>
  <c r="O74" i="128"/>
  <c r="O71" i="128"/>
  <c r="R81" i="128"/>
  <c r="O62" i="128"/>
  <c r="R116" i="128"/>
  <c r="R110" i="128"/>
  <c r="P25" i="128"/>
  <c r="J25" i="131" s="1"/>
  <c r="O118" i="128"/>
  <c r="P126" i="128"/>
  <c r="P70" i="128"/>
  <c r="P77" i="128"/>
  <c r="O28" i="128"/>
  <c r="BT121" i="128"/>
  <c r="BT92" i="128"/>
  <c r="O95" i="128"/>
  <c r="BT28" i="128"/>
  <c r="BE78" i="128"/>
  <c r="BW78" i="128"/>
  <c r="BT74" i="128"/>
  <c r="R91" i="128"/>
  <c r="BT113" i="128"/>
  <c r="R85" i="128"/>
  <c r="BT71" i="128"/>
  <c r="BT60" i="128"/>
  <c r="O100" i="128"/>
  <c r="R128" i="128"/>
  <c r="R126" i="128"/>
  <c r="BT117" i="128"/>
  <c r="O73" i="128"/>
  <c r="O50" i="128"/>
  <c r="R71" i="128"/>
  <c r="R75" i="128"/>
  <c r="O117" i="128"/>
  <c r="BT13" i="128"/>
  <c r="O7" i="128"/>
  <c r="R121" i="128"/>
  <c r="BK6" i="128"/>
  <c r="CC120" i="128"/>
  <c r="R120" i="128"/>
  <c r="O14" i="128"/>
  <c r="BB14" i="128"/>
  <c r="O80" i="128"/>
  <c r="BB80" i="128"/>
  <c r="O30" i="128"/>
  <c r="BK42" i="128"/>
  <c r="O42" i="128"/>
  <c r="P16" i="128"/>
  <c r="P19" i="128"/>
  <c r="O19" i="128"/>
  <c r="BT123" i="128"/>
  <c r="BT33" i="128"/>
  <c r="R107" i="128"/>
  <c r="O107" i="128"/>
  <c r="O18" i="128"/>
  <c r="P36" i="128"/>
  <c r="J36" i="131" s="1"/>
  <c r="R68" i="128"/>
  <c r="O41" i="128"/>
  <c r="P20" i="128"/>
  <c r="P125" i="128"/>
  <c r="P8" i="128"/>
  <c r="P92" i="128"/>
  <c r="BN57" i="128"/>
  <c r="CC74" i="128"/>
  <c r="O91" i="128"/>
  <c r="R54" i="128"/>
  <c r="O85" i="128"/>
  <c r="O20" i="128"/>
  <c r="R98" i="128"/>
  <c r="O128" i="128"/>
  <c r="O58" i="128"/>
  <c r="O126" i="128"/>
  <c r="CC79" i="128"/>
  <c r="O16" i="128"/>
  <c r="O31" i="128"/>
  <c r="O75" i="128"/>
  <c r="R60" i="128"/>
  <c r="O53" i="128"/>
  <c r="R105" i="128"/>
  <c r="O64" i="128"/>
  <c r="P13" i="128"/>
  <c r="P9" i="128"/>
  <c r="P53" i="128"/>
  <c r="P51" i="128"/>
  <c r="P46" i="128"/>
  <c r="O123" i="128"/>
  <c r="P27" i="128"/>
  <c r="BW91" i="128"/>
  <c r="BW128" i="128"/>
  <c r="P30" i="128"/>
  <c r="P5" i="128"/>
  <c r="O15" i="128"/>
  <c r="R125" i="128"/>
  <c r="O61" i="128"/>
  <c r="O48" i="128"/>
  <c r="P11" i="128"/>
  <c r="P43" i="128"/>
  <c r="R109" i="128"/>
  <c r="P7" i="128"/>
  <c r="O66" i="128"/>
  <c r="R63" i="128"/>
  <c r="R96" i="128"/>
  <c r="P49" i="128"/>
  <c r="P10" i="128"/>
  <c r="J10" i="131" s="1"/>
  <c r="P42" i="128"/>
  <c r="P32" i="128"/>
  <c r="O9" i="128"/>
  <c r="O10" i="128"/>
  <c r="O116" i="128"/>
  <c r="P21" i="128"/>
  <c r="P48" i="128"/>
  <c r="P50" i="128"/>
  <c r="P22" i="128"/>
  <c r="P17" i="128"/>
  <c r="R122" i="128"/>
  <c r="R101" i="128"/>
  <c r="AV91" i="128"/>
  <c r="BT35" i="128"/>
  <c r="R95" i="128"/>
  <c r="O105" i="128"/>
  <c r="BE95" i="128"/>
  <c r="AV101" i="128"/>
  <c r="O122" i="128"/>
  <c r="O65" i="128"/>
  <c r="CC101" i="128"/>
  <c r="R83" i="128"/>
  <c r="R78" i="128"/>
  <c r="R114" i="128"/>
  <c r="O104" i="128"/>
  <c r="P31" i="128"/>
  <c r="P45" i="128"/>
  <c r="P35" i="128"/>
  <c r="O47" i="128"/>
  <c r="P44" i="128"/>
  <c r="R118" i="128"/>
  <c r="P40" i="128"/>
  <c r="O79" i="128"/>
  <c r="BT15" i="128"/>
  <c r="BT83" i="128"/>
  <c r="O34" i="128"/>
  <c r="P38" i="128"/>
  <c r="BT56" i="128"/>
  <c r="R73" i="128"/>
  <c r="BT116" i="128"/>
  <c r="O114" i="128"/>
  <c r="O78" i="128"/>
  <c r="CC99" i="128"/>
  <c r="CC61" i="128"/>
  <c r="BT109" i="128"/>
  <c r="BT78" i="128"/>
  <c r="BT22" i="128"/>
  <c r="O63" i="128"/>
  <c r="R66" i="128"/>
  <c r="O124" i="128"/>
  <c r="R65" i="128"/>
  <c r="O83" i="128"/>
  <c r="R129" i="128"/>
  <c r="CF122" i="128"/>
  <c r="BW101" i="128"/>
  <c r="BN101" i="128"/>
  <c r="R124" i="128"/>
  <c r="CC94" i="128"/>
  <c r="O96" i="128"/>
  <c r="R38" i="128"/>
  <c r="O17" i="128"/>
  <c r="CC66" i="128"/>
  <c r="O26" i="128"/>
  <c r="CC96" i="128"/>
  <c r="R61" i="128"/>
  <c r="O129" i="128"/>
  <c r="O49" i="128"/>
  <c r="R56" i="128"/>
  <c r="BB27" i="128"/>
  <c r="CC65" i="128"/>
  <c r="CC76" i="128"/>
  <c r="CC63" i="128"/>
  <c r="O35" i="128"/>
  <c r="R76" i="128"/>
  <c r="BE122" i="128"/>
  <c r="CC84" i="128"/>
  <c r="BT9" i="128"/>
  <c r="O3" i="128"/>
  <c r="BT129" i="128"/>
  <c r="O27" i="128"/>
  <c r="O38" i="128"/>
  <c r="CC125" i="128"/>
  <c r="R99" i="128"/>
  <c r="AV128" i="128"/>
  <c r="CC124" i="128"/>
  <c r="O72" i="128"/>
  <c r="BT34" i="128"/>
  <c r="BE130" i="128"/>
  <c r="BW106" i="128"/>
  <c r="BT49" i="128"/>
  <c r="O109" i="128"/>
  <c r="O84" i="128"/>
  <c r="AV130" i="128"/>
  <c r="O125" i="128"/>
  <c r="R72" i="128"/>
  <c r="BE69" i="128"/>
  <c r="AV95" i="128"/>
  <c r="O87" i="128"/>
  <c r="CC87" i="128"/>
  <c r="O120" i="128"/>
  <c r="R94" i="128"/>
  <c r="CF69" i="128"/>
  <c r="BT48" i="128"/>
  <c r="BW82" i="128"/>
  <c r="BE57" i="128"/>
  <c r="CF101" i="128"/>
  <c r="BE84" i="128"/>
  <c r="BE93" i="128"/>
  <c r="BE115" i="128"/>
  <c r="BN106" i="128"/>
  <c r="BN82" i="128"/>
  <c r="BE82" i="128"/>
  <c r="BW93" i="128"/>
  <c r="BW57" i="128"/>
  <c r="CF57" i="128"/>
  <c r="CF92" i="128"/>
  <c r="BW92" i="128"/>
  <c r="AV92" i="128"/>
  <c r="BE92" i="128"/>
  <c r="CF82" i="128"/>
  <c r="BW110" i="128"/>
  <c r="BN110" i="128"/>
  <c r="CF99" i="128"/>
  <c r="BW99" i="128"/>
  <c r="BE99" i="128"/>
  <c r="CF128" i="128"/>
  <c r="AV99" i="128"/>
  <c r="AV110" i="128"/>
  <c r="BE128" i="128"/>
  <c r="BN128" i="128"/>
  <c r="BN66" i="128"/>
  <c r="BW130" i="128"/>
  <c r="BE105" i="128"/>
  <c r="BN102" i="128"/>
  <c r="BN74" i="128"/>
  <c r="BE77" i="128"/>
  <c r="CF98" i="128"/>
  <c r="CF130" i="128"/>
  <c r="BW105" i="128"/>
  <c r="BN77" i="128"/>
  <c r="BN129" i="128"/>
  <c r="AV105" i="128"/>
  <c r="AV98" i="128"/>
  <c r="BE102" i="128"/>
  <c r="BE98" i="128"/>
  <c r="BE129" i="128"/>
  <c r="CF66" i="128"/>
  <c r="CF102" i="128"/>
  <c r="CF129" i="128"/>
  <c r="BW114" i="128"/>
  <c r="BW98" i="128"/>
  <c r="BE119" i="128"/>
  <c r="BE58" i="128"/>
  <c r="BE114" i="128"/>
  <c r="BE109" i="128"/>
  <c r="BE106" i="128"/>
  <c r="BE66" i="128"/>
  <c r="BE110" i="128"/>
  <c r="CF54" i="128"/>
  <c r="CF109" i="128"/>
  <c r="BW119" i="128"/>
  <c r="BW62" i="128"/>
  <c r="BW84" i="128"/>
  <c r="BW66" i="128"/>
  <c r="BW85" i="128"/>
  <c r="BW129" i="128"/>
  <c r="AZ9" i="47"/>
  <c r="BA2" i="47"/>
  <c r="BA3" i="47"/>
  <c r="AM3" i="47"/>
  <c r="BB5" i="47"/>
  <c r="BN84" i="128"/>
  <c r="BN96" i="128"/>
  <c r="BN122" i="128"/>
  <c r="BN78" i="128"/>
  <c r="BN119" i="128"/>
  <c r="BN114" i="128"/>
  <c r="BN115" i="128"/>
  <c r="AV58" i="128"/>
  <c r="AV85" i="128"/>
  <c r="AV115" i="128"/>
  <c r="BE96" i="128"/>
  <c r="BE62" i="128"/>
  <c r="BE91" i="128"/>
  <c r="BE54" i="128"/>
  <c r="CF74" i="128"/>
  <c r="CF119" i="128"/>
  <c r="CF91" i="128"/>
  <c r="CF77" i="128"/>
  <c r="CF114" i="128"/>
  <c r="CF62" i="128"/>
  <c r="CF78" i="128"/>
  <c r="CF84" i="128"/>
  <c r="CF93" i="128"/>
  <c r="CF96" i="128"/>
  <c r="BW77" i="128"/>
  <c r="BW115" i="128"/>
  <c r="BW74" i="128"/>
  <c r="BW54" i="128"/>
  <c r="BW69" i="128"/>
  <c r="BW96" i="128"/>
  <c r="BW109" i="128"/>
  <c r="AM4" i="47"/>
  <c r="BA4" i="47"/>
  <c r="BB4" i="47" s="1"/>
  <c r="BN105" i="128"/>
  <c r="BN69" i="128"/>
  <c r="BN93" i="128"/>
  <c r="BN109" i="128"/>
  <c r="BN91" i="128"/>
  <c r="AV122" i="128"/>
  <c r="AV109" i="128"/>
  <c r="AV74" i="128"/>
  <c r="AV96" i="128"/>
  <c r="AV62" i="128"/>
  <c r="AV106" i="128"/>
  <c r="AJ4" i="128" l="1"/>
  <c r="AJ3" i="128"/>
  <c r="Z3" i="128"/>
  <c r="L13" i="131" s="1"/>
  <c r="O47" i="131"/>
  <c r="M32" i="131"/>
  <c r="BW11" i="128"/>
  <c r="BN60" i="128"/>
  <c r="M53" i="131"/>
  <c r="N52" i="131"/>
  <c r="M17" i="131"/>
  <c r="O40" i="131"/>
  <c r="BE100" i="128"/>
  <c r="CF83" i="128"/>
  <c r="BW55" i="128"/>
  <c r="BE60" i="128"/>
  <c r="CF60" i="128"/>
  <c r="BW60" i="128"/>
  <c r="BE63" i="128"/>
  <c r="BW63" i="128"/>
  <c r="CF67" i="128"/>
  <c r="BN56" i="128"/>
  <c r="BE67" i="128"/>
  <c r="BN67" i="128"/>
  <c r="BE56" i="128"/>
  <c r="CF56" i="128"/>
  <c r="BW56" i="128"/>
  <c r="BE83" i="128"/>
  <c r="BW67" i="128"/>
  <c r="AV72" i="128"/>
  <c r="BN83" i="128"/>
  <c r="AV83" i="128"/>
  <c r="BW72" i="128"/>
  <c r="BN100" i="128"/>
  <c r="CF100" i="128"/>
  <c r="BW100" i="128"/>
  <c r="CF63" i="128"/>
  <c r="T55" i="128"/>
  <c r="CF70" i="128"/>
  <c r="BW65" i="128"/>
  <c r="AV71" i="128"/>
  <c r="BW107" i="128"/>
  <c r="CF127" i="128"/>
  <c r="CF71" i="128"/>
  <c r="AV120" i="128"/>
  <c r="BN127" i="128"/>
  <c r="AV70" i="128"/>
  <c r="BW71" i="128"/>
  <c r="BE107" i="128"/>
  <c r="AV107" i="128"/>
  <c r="BW127" i="128"/>
  <c r="CF103" i="128"/>
  <c r="BW86" i="128"/>
  <c r="BN86" i="128"/>
  <c r="AV127" i="128"/>
  <c r="BN87" i="128"/>
  <c r="BW126" i="128"/>
  <c r="BN70" i="128"/>
  <c r="CF107" i="128"/>
  <c r="T70" i="128"/>
  <c r="BW61" i="128"/>
  <c r="BN118" i="128"/>
  <c r="BN104" i="128"/>
  <c r="BE65" i="128"/>
  <c r="AV61" i="128"/>
  <c r="BE70" i="128"/>
  <c r="BW90" i="128"/>
  <c r="BE61" i="128"/>
  <c r="BE86" i="128"/>
  <c r="AV65" i="128"/>
  <c r="AV87" i="128"/>
  <c r="BE87" i="128"/>
  <c r="T100" i="128"/>
  <c r="AV86" i="128"/>
  <c r="CF124" i="128"/>
  <c r="CF87" i="128"/>
  <c r="BN61" i="128"/>
  <c r="BE71" i="128"/>
  <c r="CF116" i="128"/>
  <c r="CF65" i="128"/>
  <c r="BN63" i="128"/>
  <c r="T19" i="128"/>
  <c r="I35" i="131" s="1"/>
  <c r="T128" i="128"/>
  <c r="T58" i="128"/>
  <c r="CF117" i="128"/>
  <c r="CF55" i="128"/>
  <c r="L35" i="131"/>
  <c r="BE72" i="128"/>
  <c r="BE117" i="128"/>
  <c r="BE55" i="128"/>
  <c r="AV55" i="128"/>
  <c r="AV19" i="128"/>
  <c r="T78" i="128"/>
  <c r="BW117" i="128"/>
  <c r="BW123" i="128"/>
  <c r="CF123" i="128"/>
  <c r="T129" i="128"/>
  <c r="AV117" i="128"/>
  <c r="T110" i="128"/>
  <c r="CF89" i="128"/>
  <c r="BW89" i="128"/>
  <c r="BN89" i="128"/>
  <c r="CF108" i="128"/>
  <c r="BW94" i="128"/>
  <c r="T61" i="128"/>
  <c r="BE108" i="128"/>
  <c r="T77" i="128"/>
  <c r="BN126" i="128"/>
  <c r="T85" i="128"/>
  <c r="BN72" i="128"/>
  <c r="T65" i="128"/>
  <c r="T67" i="128"/>
  <c r="BE50" i="128"/>
  <c r="T130" i="128"/>
  <c r="T122" i="128"/>
  <c r="AV10" i="128"/>
  <c r="T82" i="128"/>
  <c r="BE34" i="128"/>
  <c r="AV50" i="128"/>
  <c r="BN64" i="128"/>
  <c r="T92" i="128"/>
  <c r="T95" i="128"/>
  <c r="BE40" i="128"/>
  <c r="CF120" i="128"/>
  <c r="BE120" i="128"/>
  <c r="BE11" i="128"/>
  <c r="BE103" i="128"/>
  <c r="BN103" i="128"/>
  <c r="AV64" i="128"/>
  <c r="AV79" i="128"/>
  <c r="BN79" i="128"/>
  <c r="CF64" i="128"/>
  <c r="BE64" i="128"/>
  <c r="BE79" i="128"/>
  <c r="AV103" i="128"/>
  <c r="BE116" i="128"/>
  <c r="BE94" i="128"/>
  <c r="AV126" i="128"/>
  <c r="BE126" i="128"/>
  <c r="T64" i="128"/>
  <c r="AV29" i="128"/>
  <c r="CF94" i="128"/>
  <c r="AV116" i="128"/>
  <c r="BW116" i="128"/>
  <c r="CF79" i="128"/>
  <c r="T63" i="128"/>
  <c r="BW120" i="128"/>
  <c r="T108" i="128"/>
  <c r="BW88" i="128"/>
  <c r="AV123" i="128"/>
  <c r="T60" i="128"/>
  <c r="T62" i="128"/>
  <c r="T91" i="128"/>
  <c r="L15" i="131"/>
  <c r="BE123" i="128"/>
  <c r="T117" i="128"/>
  <c r="BE89" i="128"/>
  <c r="BN108" i="128"/>
  <c r="BW108" i="128"/>
  <c r="T123" i="128"/>
  <c r="T120" i="128"/>
  <c r="T105" i="128"/>
  <c r="AV18" i="128"/>
  <c r="BN11" i="128"/>
  <c r="T98" i="128"/>
  <c r="BW118" i="128"/>
  <c r="CF118" i="128"/>
  <c r="BE90" i="128"/>
  <c r="BW40" i="128"/>
  <c r="BW104" i="128"/>
  <c r="T89" i="128"/>
  <c r="T4" i="128"/>
  <c r="I4" i="131" s="1"/>
  <c r="CF104" i="128"/>
  <c r="T66" i="128"/>
  <c r="AV94" i="128"/>
  <c r="CF11" i="128"/>
  <c r="AV4" i="128"/>
  <c r="BE118" i="128"/>
  <c r="BE112" i="128"/>
  <c r="CF112" i="128"/>
  <c r="CF10" i="128"/>
  <c r="CF90" i="128"/>
  <c r="BE104" i="128"/>
  <c r="AV24" i="128"/>
  <c r="AV90" i="128"/>
  <c r="BN40" i="128"/>
  <c r="CF40" i="128"/>
  <c r="AV32" i="128"/>
  <c r="BE25" i="128"/>
  <c r="BN3" i="128"/>
  <c r="CF50" i="128"/>
  <c r="AV113" i="128"/>
  <c r="BW37" i="128"/>
  <c r="BE13" i="128"/>
  <c r="BE21" i="128"/>
  <c r="BE26" i="128"/>
  <c r="T3" i="128"/>
  <c r="BN20" i="128"/>
  <c r="BE49" i="128"/>
  <c r="BW34" i="128"/>
  <c r="AV33" i="128"/>
  <c r="CF68" i="128"/>
  <c r="CF49" i="128"/>
  <c r="BW48" i="128"/>
  <c r="BN50" i="128"/>
  <c r="BN42" i="128"/>
  <c r="BW33" i="128"/>
  <c r="T87" i="128"/>
  <c r="BW20" i="128"/>
  <c r="N45" i="131"/>
  <c r="CF44" i="128"/>
  <c r="AV12" i="128"/>
  <c r="BN51" i="128"/>
  <c r="BN43" i="128"/>
  <c r="BE124" i="128"/>
  <c r="BE15" i="128"/>
  <c r="BW112" i="128"/>
  <c r="CF4" i="128"/>
  <c r="AV112" i="128"/>
  <c r="BW124" i="128"/>
  <c r="BN124" i="128"/>
  <c r="AV25" i="128"/>
  <c r="BE12" i="128"/>
  <c r="BW59" i="128"/>
  <c r="BW35" i="128"/>
  <c r="BN45" i="128"/>
  <c r="T119" i="128"/>
  <c r="AV75" i="128"/>
  <c r="BN75" i="128"/>
  <c r="CF59" i="128"/>
  <c r="BW125" i="128"/>
  <c r="T126" i="128"/>
  <c r="BN81" i="128"/>
  <c r="T113" i="128"/>
  <c r="M46" i="131"/>
  <c r="O52" i="131"/>
  <c r="O9" i="131"/>
  <c r="T21" i="128"/>
  <c r="N51" i="131"/>
  <c r="BN33" i="128"/>
  <c r="BE33" i="128"/>
  <c r="T24" i="128"/>
  <c r="J8" i="131"/>
  <c r="J15" i="131"/>
  <c r="BN13" i="128"/>
  <c r="BW22" i="128"/>
  <c r="M9" i="131"/>
  <c r="O12" i="131"/>
  <c r="BN32" i="128"/>
  <c r="O17" i="131"/>
  <c r="N32" i="131"/>
  <c r="N48" i="131"/>
  <c r="N24" i="131"/>
  <c r="N3" i="131"/>
  <c r="M6" i="131"/>
  <c r="CF37" i="128"/>
  <c r="M41" i="131"/>
  <c r="M48" i="131"/>
  <c r="O37" i="131"/>
  <c r="BN21" i="128"/>
  <c r="T43" i="128"/>
  <c r="BW28" i="128"/>
  <c r="BW75" i="128"/>
  <c r="CF28" i="128"/>
  <c r="BW25" i="128"/>
  <c r="J40" i="131"/>
  <c r="J27" i="131"/>
  <c r="J16" i="131"/>
  <c r="BE73" i="128"/>
  <c r="T102" i="128"/>
  <c r="O35" i="131"/>
  <c r="O5" i="131"/>
  <c r="N31" i="131"/>
  <c r="M51" i="131"/>
  <c r="O49" i="131"/>
  <c r="CF73" i="128"/>
  <c r="AV59" i="128"/>
  <c r="T125" i="128"/>
  <c r="T79" i="128"/>
  <c r="BE5" i="128"/>
  <c r="T72" i="128"/>
  <c r="M3" i="131"/>
  <c r="O26" i="131"/>
  <c r="N14" i="131"/>
  <c r="BW13" i="128"/>
  <c r="N30" i="131"/>
  <c r="N46" i="131"/>
  <c r="BN53" i="128"/>
  <c r="M27" i="131"/>
  <c r="M16" i="131"/>
  <c r="CF43" i="128"/>
  <c r="O46" i="131"/>
  <c r="O43" i="131"/>
  <c r="BN23" i="128"/>
  <c r="BE19" i="128"/>
  <c r="N16" i="131"/>
  <c r="T69" i="128"/>
  <c r="T118" i="128"/>
  <c r="BN59" i="128"/>
  <c r="BE75" i="128"/>
  <c r="AV73" i="128"/>
  <c r="BW73" i="128"/>
  <c r="L9" i="131"/>
  <c r="T47" i="128"/>
  <c r="BN44" i="128"/>
  <c r="BE36" i="128"/>
  <c r="BN31" i="128"/>
  <c r="BN9" i="128"/>
  <c r="BE51" i="128"/>
  <c r="T12" i="128"/>
  <c r="I16" i="131" s="1"/>
  <c r="T88" i="128"/>
  <c r="BE9" i="128"/>
  <c r="BE22" i="128"/>
  <c r="CF21" i="128"/>
  <c r="CF17" i="128"/>
  <c r="BN12" i="128"/>
  <c r="BN113" i="128"/>
  <c r="CF113" i="128"/>
  <c r="AV81" i="128"/>
  <c r="BE43" i="128"/>
  <c r="CF35" i="128"/>
  <c r="BE80" i="128"/>
  <c r="T84" i="128"/>
  <c r="T116" i="128"/>
  <c r="BN80" i="128"/>
  <c r="CF48" i="128"/>
  <c r="J46" i="131"/>
  <c r="T54" i="128"/>
  <c r="T53" i="128"/>
  <c r="I37" i="131" s="1"/>
  <c r="T114" i="128"/>
  <c r="T40" i="128"/>
  <c r="M30" i="131"/>
  <c r="T30" i="128"/>
  <c r="O24" i="131"/>
  <c r="O18" i="131"/>
  <c r="O27" i="131"/>
  <c r="N47" i="131"/>
  <c r="N13" i="131"/>
  <c r="N37" i="131"/>
  <c r="M23" i="131"/>
  <c r="T23" i="128"/>
  <c r="BE42" i="128"/>
  <c r="T35" i="128"/>
  <c r="BN46" i="128"/>
  <c r="CF7" i="128"/>
  <c r="BW42" i="128"/>
  <c r="BW32" i="128"/>
  <c r="BW113" i="128"/>
  <c r="CF3" i="128"/>
  <c r="BE30" i="128"/>
  <c r="CF26" i="128"/>
  <c r="CF33" i="128"/>
  <c r="T15" i="128"/>
  <c r="J44" i="131"/>
  <c r="J31" i="131"/>
  <c r="J22" i="131"/>
  <c r="BN35" i="128"/>
  <c r="BN16" i="128"/>
  <c r="T37" i="128"/>
  <c r="I18" i="131" s="1"/>
  <c r="BN30" i="128"/>
  <c r="BE53" i="128"/>
  <c r="BN125" i="128"/>
  <c r="AV80" i="128"/>
  <c r="T28" i="128"/>
  <c r="T73" i="128"/>
  <c r="M20" i="131"/>
  <c r="M5" i="131"/>
  <c r="T31" i="128"/>
  <c r="I32" i="131" s="1"/>
  <c r="BW50" i="128"/>
  <c r="BW26" i="128"/>
  <c r="BN28" i="128"/>
  <c r="AV7" i="128"/>
  <c r="AV35" i="128"/>
  <c r="BN10" i="128"/>
  <c r="BN7" i="128"/>
  <c r="BE10" i="128"/>
  <c r="BE20" i="128"/>
  <c r="BN34" i="128"/>
  <c r="BW80" i="128"/>
  <c r="CF125" i="128"/>
  <c r="AV20" i="128"/>
  <c r="BN4" i="128"/>
  <c r="BW30" i="128"/>
  <c r="CF45" i="128"/>
  <c r="BW18" i="128"/>
  <c r="BW29" i="128"/>
  <c r="AV43" i="128"/>
  <c r="BE16" i="128"/>
  <c r="BW9" i="128"/>
  <c r="BW21" i="128"/>
  <c r="AV37" i="128"/>
  <c r="CF13" i="128"/>
  <c r="CF6" i="128"/>
  <c r="AV6" i="128"/>
  <c r="T56" i="128"/>
  <c r="J30" i="131"/>
  <c r="T33" i="128"/>
  <c r="T80" i="128"/>
  <c r="CF31" i="128"/>
  <c r="BW16" i="128"/>
  <c r="BE81" i="128"/>
  <c r="CF81" i="128"/>
  <c r="BN6" i="128"/>
  <c r="Q43" i="128"/>
  <c r="BW4" i="128"/>
  <c r="AV13" i="128"/>
  <c r="T39" i="128"/>
  <c r="I47" i="131" s="1"/>
  <c r="AV16" i="128"/>
  <c r="M49" i="131"/>
  <c r="M52" i="131"/>
  <c r="T18" i="128"/>
  <c r="I15" i="131" s="1"/>
  <c r="BW45" i="128"/>
  <c r="O39" i="131"/>
  <c r="O22" i="131"/>
  <c r="O3" i="131"/>
  <c r="CF18" i="128"/>
  <c r="N50" i="131"/>
  <c r="BE7" i="128"/>
  <c r="BE17" i="128"/>
  <c r="AV125" i="128"/>
  <c r="I24" i="131"/>
  <c r="J7" i="131"/>
  <c r="M19" i="131"/>
  <c r="T17" i="128"/>
  <c r="CF9" i="128"/>
  <c r="BE41" i="128"/>
  <c r="BW43" i="128"/>
  <c r="AV53" i="128"/>
  <c r="BN48" i="128"/>
  <c r="CF16" i="128"/>
  <c r="AV48" i="128"/>
  <c r="BN68" i="128"/>
  <c r="BN5" i="128"/>
  <c r="CF39" i="128"/>
  <c r="T109" i="128"/>
  <c r="BN41" i="128"/>
  <c r="J43" i="131"/>
  <c r="BE37" i="128"/>
  <c r="J20" i="131"/>
  <c r="CF41" i="128"/>
  <c r="T5" i="128"/>
  <c r="CF5" i="128"/>
  <c r="T81" i="128"/>
  <c r="T75" i="128"/>
  <c r="CF22" i="128"/>
  <c r="T7" i="128"/>
  <c r="T101" i="128"/>
  <c r="O32" i="131"/>
  <c r="N42" i="131"/>
  <c r="T16" i="128"/>
  <c r="I28" i="131" s="1"/>
  <c r="BN47" i="128"/>
  <c r="BW47" i="128"/>
  <c r="CF46" i="128"/>
  <c r="CF15" i="128"/>
  <c r="BE29" i="128"/>
  <c r="BE3" i="128"/>
  <c r="AV8" i="128"/>
  <c r="AV45" i="128"/>
  <c r="BN19" i="128"/>
  <c r="BN15" i="128"/>
  <c r="BW19" i="128"/>
  <c r="CF8" i="128"/>
  <c r="BE18" i="128"/>
  <c r="BW53" i="128"/>
  <c r="BE97" i="128"/>
  <c r="BN37" i="128"/>
  <c r="BE28" i="128"/>
  <c r="BN97" i="128"/>
  <c r="BE24" i="128"/>
  <c r="BE48" i="128"/>
  <c r="BW52" i="128"/>
  <c r="BN27" i="128"/>
  <c r="CF20" i="128"/>
  <c r="BW27" i="128"/>
  <c r="CF30" i="128"/>
  <c r="CF34" i="128"/>
  <c r="BN88" i="128"/>
  <c r="BW3" i="128"/>
  <c r="BE6" i="128"/>
  <c r="BE32" i="128"/>
  <c r="BW31" i="128"/>
  <c r="CF24" i="128"/>
  <c r="CF25" i="128"/>
  <c r="BW10" i="128"/>
  <c r="J45" i="131"/>
  <c r="BE4" i="128"/>
  <c r="BW8" i="128"/>
  <c r="J21" i="131"/>
  <c r="AV44" i="128"/>
  <c r="BW23" i="128"/>
  <c r="BW44" i="128"/>
  <c r="T127" i="128"/>
  <c r="T97" i="128"/>
  <c r="T93" i="128"/>
  <c r="CF88" i="128"/>
  <c r="J23" i="131"/>
  <c r="BN18" i="128"/>
  <c r="T90" i="128"/>
  <c r="BN39" i="128"/>
  <c r="T25" i="128"/>
  <c r="I25" i="131" s="1"/>
  <c r="BN49" i="128"/>
  <c r="M22" i="131"/>
  <c r="O34" i="131"/>
  <c r="M50" i="131"/>
  <c r="N40" i="131"/>
  <c r="N44" i="131"/>
  <c r="AV39" i="128"/>
  <c r="AV15" i="128"/>
  <c r="BN17" i="128"/>
  <c r="BW46" i="128"/>
  <c r="BW17" i="128"/>
  <c r="BW97" i="128"/>
  <c r="CF19" i="128"/>
  <c r="CF51" i="128"/>
  <c r="BE88" i="128"/>
  <c r="AV23" i="128"/>
  <c r="BW15" i="128"/>
  <c r="BW36" i="128"/>
  <c r="BW39" i="128"/>
  <c r="BW49" i="128"/>
  <c r="CF29" i="128"/>
  <c r="BE8" i="128"/>
  <c r="BN22" i="128"/>
  <c r="CF53" i="128"/>
  <c r="AV97" i="128"/>
  <c r="BW51" i="128"/>
  <c r="BE35" i="128"/>
  <c r="BW24" i="128"/>
  <c r="BE46" i="128"/>
  <c r="AV9" i="128"/>
  <c r="BE44" i="128"/>
  <c r="BN36" i="128"/>
  <c r="CF42" i="128"/>
  <c r="BE23" i="128"/>
  <c r="CF23" i="128"/>
  <c r="AV49" i="128"/>
  <c r="BN111" i="128"/>
  <c r="BE47" i="128"/>
  <c r="T34" i="128"/>
  <c r="I40" i="131" s="1"/>
  <c r="T9" i="128"/>
  <c r="BW6" i="128"/>
  <c r="BE45" i="128"/>
  <c r="BN24" i="128"/>
  <c r="BN26" i="128"/>
  <c r="AV26" i="128"/>
  <c r="J38" i="131"/>
  <c r="R53" i="128"/>
  <c r="CF36" i="128"/>
  <c r="AV41" i="128"/>
  <c r="BW41" i="128"/>
  <c r="J11" i="131"/>
  <c r="BE39" i="128"/>
  <c r="J13" i="131"/>
  <c r="BN25" i="128"/>
  <c r="BN8" i="128"/>
  <c r="BN29" i="128"/>
  <c r="CF32" i="128"/>
  <c r="T32" i="128"/>
  <c r="I53" i="131" s="1"/>
  <c r="CF47" i="128"/>
  <c r="T36" i="128"/>
  <c r="I36" i="131" s="1"/>
  <c r="AV3" i="128"/>
  <c r="L11" i="131"/>
  <c r="O33" i="131"/>
  <c r="N29" i="131"/>
  <c r="J35" i="131"/>
  <c r="J49" i="131"/>
  <c r="J5" i="131"/>
  <c r="M31" i="131"/>
  <c r="N6" i="131"/>
  <c r="J17" i="131"/>
  <c r="N22" i="131"/>
  <c r="O29" i="131"/>
  <c r="N27" i="131"/>
  <c r="J42" i="131"/>
  <c r="J9" i="131"/>
  <c r="J34" i="131"/>
  <c r="J39" i="131"/>
  <c r="J47" i="131"/>
  <c r="M47" i="131"/>
  <c r="M43" i="131"/>
  <c r="M42" i="131"/>
  <c r="O15" i="131"/>
  <c r="M44" i="131"/>
  <c r="O23" i="131"/>
  <c r="O8" i="131"/>
  <c r="O50" i="131"/>
  <c r="O42" i="131"/>
  <c r="N39" i="131"/>
  <c r="N33" i="131"/>
  <c r="N21" i="131"/>
  <c r="N19" i="131"/>
  <c r="L3" i="131"/>
  <c r="J19" i="131"/>
  <c r="J18" i="131"/>
  <c r="J28" i="131"/>
  <c r="J14" i="131"/>
  <c r="J24" i="131"/>
  <c r="J29" i="131"/>
  <c r="M37" i="131"/>
  <c r="M13" i="131"/>
  <c r="O30" i="131"/>
  <c r="O21" i="131"/>
  <c r="N9" i="131"/>
  <c r="N53" i="131"/>
  <c r="L12" i="131"/>
  <c r="L50" i="131"/>
  <c r="M26" i="131"/>
  <c r="M28" i="131"/>
  <c r="O45" i="131"/>
  <c r="O6" i="131"/>
  <c r="M7" i="131"/>
  <c r="M35" i="131"/>
  <c r="O44" i="131"/>
  <c r="O20" i="131"/>
  <c r="O10" i="131"/>
  <c r="O7" i="131"/>
  <c r="N10" i="131"/>
  <c r="N49" i="131"/>
  <c r="N41" i="131"/>
  <c r="N38" i="131"/>
  <c r="N15" i="131"/>
  <c r="N20" i="131"/>
  <c r="N34" i="131"/>
  <c r="J50" i="131"/>
  <c r="J51" i="131"/>
  <c r="J3" i="131"/>
  <c r="J37" i="131"/>
  <c r="J41" i="131"/>
  <c r="J26" i="131"/>
  <c r="J52" i="131"/>
  <c r="J12" i="131"/>
  <c r="O41" i="131"/>
  <c r="M34" i="131"/>
  <c r="M11" i="131"/>
  <c r="M21" i="131"/>
  <c r="M14" i="131"/>
  <c r="M40" i="131"/>
  <c r="O53" i="131"/>
  <c r="O14" i="131"/>
  <c r="O16" i="131"/>
  <c r="O11" i="131"/>
  <c r="N11" i="131"/>
  <c r="N26" i="131"/>
  <c r="N23" i="131"/>
  <c r="N8" i="131"/>
  <c r="L47" i="131"/>
  <c r="L37" i="131"/>
  <c r="J48" i="131"/>
  <c r="J32" i="131"/>
  <c r="J53" i="131"/>
  <c r="J6" i="131"/>
  <c r="J33" i="131"/>
  <c r="M45" i="131"/>
  <c r="O38" i="131"/>
  <c r="N18" i="131"/>
  <c r="N7" i="131"/>
  <c r="N17" i="131"/>
  <c r="AV11" i="128"/>
  <c r="M8" i="131"/>
  <c r="M12" i="131"/>
  <c r="M18" i="131"/>
  <c r="O51" i="131"/>
  <c r="O28" i="131"/>
  <c r="O19" i="131"/>
  <c r="M38" i="131"/>
  <c r="O13" i="131"/>
  <c r="O48" i="131"/>
  <c r="N28" i="131"/>
  <c r="N12" i="131"/>
  <c r="N43" i="131"/>
  <c r="N5" i="131"/>
  <c r="L46" i="131"/>
  <c r="L48" i="131"/>
  <c r="Y49" i="128"/>
  <c r="H49" i="115" s="1"/>
  <c r="C49" i="115" s="1"/>
  <c r="E49" i="131"/>
  <c r="Y26" i="128"/>
  <c r="H26" i="115" s="1"/>
  <c r="C26" i="115" s="1"/>
  <c r="E26" i="131"/>
  <c r="Y20" i="128"/>
  <c r="H20" i="115" s="1"/>
  <c r="C20" i="115" s="1"/>
  <c r="E20" i="131"/>
  <c r="Y18" i="128"/>
  <c r="H18" i="115" s="1"/>
  <c r="C18" i="115" s="1"/>
  <c r="E18" i="131"/>
  <c r="Y42" i="128"/>
  <c r="H42" i="115" s="1"/>
  <c r="C42" i="115" s="1"/>
  <c r="E42" i="131"/>
  <c r="Y28" i="128"/>
  <c r="H28" i="115" s="1"/>
  <c r="C28" i="115" s="1"/>
  <c r="E28" i="131"/>
  <c r="Y23" i="128"/>
  <c r="H23" i="115" s="1"/>
  <c r="C23" i="115" s="1"/>
  <c r="E23" i="131"/>
  <c r="Y13" i="128"/>
  <c r="H13" i="115" s="1"/>
  <c r="C13" i="115" s="1"/>
  <c r="E13" i="131"/>
  <c r="Y11" i="128"/>
  <c r="H11" i="115" s="1"/>
  <c r="C11" i="115" s="1"/>
  <c r="E11" i="131"/>
  <c r="Y4" i="128"/>
  <c r="H4" i="115" s="1"/>
  <c r="C4" i="115" s="1"/>
  <c r="E4" i="131"/>
  <c r="AV14" i="128"/>
  <c r="L14" i="131"/>
  <c r="AV52" i="128"/>
  <c r="L52" i="131"/>
  <c r="R35" i="128"/>
  <c r="Y92" i="128"/>
  <c r="H92" i="115" s="1"/>
  <c r="C92" i="115" s="1"/>
  <c r="D92" i="115" s="1"/>
  <c r="Y108" i="128"/>
  <c r="H108" i="115" s="1"/>
  <c r="C108" i="115" s="1"/>
  <c r="D108" i="115" s="1"/>
  <c r="Y88" i="128"/>
  <c r="H88" i="115" s="1"/>
  <c r="C88" i="115" s="1"/>
  <c r="D88" i="115" s="1"/>
  <c r="Y103" i="128"/>
  <c r="H103" i="115" s="1"/>
  <c r="C103" i="115" s="1"/>
  <c r="D103" i="115" s="1"/>
  <c r="Y113" i="128"/>
  <c r="H113" i="115" s="1"/>
  <c r="C113" i="115" s="1"/>
  <c r="D113" i="115" s="1"/>
  <c r="Y120" i="128"/>
  <c r="H120" i="115" s="1"/>
  <c r="C120" i="115" s="1"/>
  <c r="D120" i="115" s="1"/>
  <c r="Y114" i="128"/>
  <c r="H114" i="115" s="1"/>
  <c r="C114" i="115" s="1"/>
  <c r="D114" i="115" s="1"/>
  <c r="Y107" i="128"/>
  <c r="H107" i="115" s="1"/>
  <c r="C107" i="115" s="1"/>
  <c r="D107" i="115" s="1"/>
  <c r="Y65" i="128"/>
  <c r="H65" i="115" s="1"/>
  <c r="C65" i="115" s="1"/>
  <c r="Y100" i="128"/>
  <c r="H100" i="115" s="1"/>
  <c r="C100" i="115" s="1"/>
  <c r="D100" i="115" s="1"/>
  <c r="Y124" i="128"/>
  <c r="H124" i="115" s="1"/>
  <c r="C124" i="115" s="1"/>
  <c r="D124" i="115" s="1"/>
  <c r="Y96" i="128"/>
  <c r="H96" i="115" s="1"/>
  <c r="C96" i="115" s="1"/>
  <c r="D96" i="115" s="1"/>
  <c r="Y91" i="128"/>
  <c r="H91" i="115" s="1"/>
  <c r="C91" i="115" s="1"/>
  <c r="D91" i="115" s="1"/>
  <c r="Y106" i="128"/>
  <c r="H106" i="115" s="1"/>
  <c r="C106" i="115" s="1"/>
  <c r="D106" i="115" s="1"/>
  <c r="Y84" i="128"/>
  <c r="H84" i="115" s="1"/>
  <c r="C84" i="115" s="1"/>
  <c r="D84" i="115" s="1"/>
  <c r="Y112" i="128"/>
  <c r="H112" i="115" s="1"/>
  <c r="C112" i="115" s="1"/>
  <c r="D112" i="115" s="1"/>
  <c r="Y86" i="128"/>
  <c r="H86" i="115" s="1"/>
  <c r="C86" i="115" s="1"/>
  <c r="D86" i="115" s="1"/>
  <c r="Y111" i="128"/>
  <c r="H111" i="115" s="1"/>
  <c r="C111" i="115" s="1"/>
  <c r="D111" i="115" s="1"/>
  <c r="Y76" i="128"/>
  <c r="H76" i="115" s="1"/>
  <c r="C76" i="115" s="1"/>
  <c r="D76" i="115" s="1"/>
  <c r="Y83" i="128"/>
  <c r="H83" i="115" s="1"/>
  <c r="C83" i="115" s="1"/>
  <c r="D83" i="115" s="1"/>
  <c r="Y98" i="128"/>
  <c r="H98" i="115" s="1"/>
  <c r="C98" i="115" s="1"/>
  <c r="D98" i="115" s="1"/>
  <c r="Y58" i="128"/>
  <c r="H58" i="115" s="1"/>
  <c r="C58" i="115" s="1"/>
  <c r="Y72" i="128"/>
  <c r="H72" i="115" s="1"/>
  <c r="C72" i="115" s="1"/>
  <c r="D72" i="115" s="1"/>
  <c r="Y74" i="128"/>
  <c r="H74" i="115" s="1"/>
  <c r="C74" i="115" s="1"/>
  <c r="D74" i="115" s="1"/>
  <c r="Y59" i="128"/>
  <c r="H59" i="115" s="1"/>
  <c r="C59" i="115" s="1"/>
  <c r="Y54" i="128"/>
  <c r="H54" i="115" s="1"/>
  <c r="C54" i="115" s="1"/>
  <c r="Y71" i="128"/>
  <c r="H71" i="115" s="1"/>
  <c r="C71" i="115" s="1"/>
  <c r="D71" i="115" s="1"/>
  <c r="Y85" i="128"/>
  <c r="H85" i="115" s="1"/>
  <c r="C85" i="115" s="1"/>
  <c r="D85" i="115" s="1"/>
  <c r="Y80" i="128"/>
  <c r="H80" i="115" s="1"/>
  <c r="C80" i="115" s="1"/>
  <c r="D80" i="115" s="1"/>
  <c r="Y118" i="128"/>
  <c r="H118" i="115" s="1"/>
  <c r="C118" i="115" s="1"/>
  <c r="D118" i="115" s="1"/>
  <c r="Y68" i="128"/>
  <c r="H68" i="115" s="1"/>
  <c r="C68" i="115" s="1"/>
  <c r="D68" i="115" s="1"/>
  <c r="Y109" i="128"/>
  <c r="H109" i="115" s="1"/>
  <c r="C109" i="115" s="1"/>
  <c r="D109" i="115" s="1"/>
  <c r="Y95" i="128"/>
  <c r="H95" i="115" s="1"/>
  <c r="C95" i="115" s="1"/>
  <c r="D95" i="115" s="1"/>
  <c r="Y94" i="128"/>
  <c r="H94" i="115" s="1"/>
  <c r="C94" i="115" s="1"/>
  <c r="D94" i="115" s="1"/>
  <c r="Y70" i="128"/>
  <c r="H70" i="115" s="1"/>
  <c r="C70" i="115" s="1"/>
  <c r="D70" i="115" s="1"/>
  <c r="Y56" i="128"/>
  <c r="H56" i="115" s="1"/>
  <c r="C56" i="115" s="1"/>
  <c r="Y62" i="128"/>
  <c r="H62" i="115" s="1"/>
  <c r="C62" i="115" s="1"/>
  <c r="Y123" i="128"/>
  <c r="H123" i="115" s="1"/>
  <c r="C123" i="115" s="1"/>
  <c r="D123" i="115" s="1"/>
  <c r="Y115" i="128"/>
  <c r="H115" i="115" s="1"/>
  <c r="C115" i="115" s="1"/>
  <c r="D115" i="115" s="1"/>
  <c r="Y125" i="128"/>
  <c r="H125" i="115" s="1"/>
  <c r="C125" i="115" s="1"/>
  <c r="D125" i="115" s="1"/>
  <c r="Y104" i="128"/>
  <c r="H104" i="115" s="1"/>
  <c r="C104" i="115" s="1"/>
  <c r="D104" i="115" s="1"/>
  <c r="Y57" i="128"/>
  <c r="H57" i="115" s="1"/>
  <c r="C57" i="115" s="1"/>
  <c r="Y105" i="128"/>
  <c r="H105" i="115" s="1"/>
  <c r="C105" i="115" s="1"/>
  <c r="D105" i="115" s="1"/>
  <c r="Y122" i="128"/>
  <c r="H122" i="115" s="1"/>
  <c r="C122" i="115" s="1"/>
  <c r="D122" i="115" s="1"/>
  <c r="Y82" i="128"/>
  <c r="H82" i="115" s="1"/>
  <c r="C82" i="115" s="1"/>
  <c r="D82" i="115" s="1"/>
  <c r="Y73" i="128"/>
  <c r="H73" i="115" s="1"/>
  <c r="C73" i="115" s="1"/>
  <c r="D73" i="115" s="1"/>
  <c r="Y101" i="128"/>
  <c r="H101" i="115" s="1"/>
  <c r="C101" i="115" s="1"/>
  <c r="D101" i="115" s="1"/>
  <c r="Y60" i="128"/>
  <c r="H60" i="115" s="1"/>
  <c r="C60" i="115" s="1"/>
  <c r="Y110" i="128"/>
  <c r="H110" i="115" s="1"/>
  <c r="C110" i="115" s="1"/>
  <c r="D110" i="115" s="1"/>
  <c r="Y127" i="128"/>
  <c r="H127" i="115" s="1"/>
  <c r="C127" i="115" s="1"/>
  <c r="D127" i="115" s="1"/>
  <c r="Y119" i="128"/>
  <c r="H119" i="115" s="1"/>
  <c r="C119" i="115" s="1"/>
  <c r="D119" i="115" s="1"/>
  <c r="Y97" i="128"/>
  <c r="H97" i="115" s="1"/>
  <c r="C97" i="115" s="1"/>
  <c r="D97" i="115" s="1"/>
  <c r="Y63" i="128"/>
  <c r="H63" i="115" s="1"/>
  <c r="C63" i="115" s="1"/>
  <c r="Y102" i="128"/>
  <c r="H102" i="115" s="1"/>
  <c r="C102" i="115" s="1"/>
  <c r="D102" i="115" s="1"/>
  <c r="Y117" i="128"/>
  <c r="H117" i="115" s="1"/>
  <c r="C117" i="115" s="1"/>
  <c r="D117" i="115" s="1"/>
  <c r="Y99" i="128"/>
  <c r="H99" i="115" s="1"/>
  <c r="C99" i="115" s="1"/>
  <c r="D99" i="115" s="1"/>
  <c r="Y116" i="128"/>
  <c r="H116" i="115" s="1"/>
  <c r="C116" i="115" s="1"/>
  <c r="D116" i="115" s="1"/>
  <c r="Y90" i="128"/>
  <c r="H90" i="115" s="1"/>
  <c r="C90" i="115" s="1"/>
  <c r="D90" i="115" s="1"/>
  <c r="Y89" i="128"/>
  <c r="H89" i="115" s="1"/>
  <c r="C89" i="115" s="1"/>
  <c r="D89" i="115" s="1"/>
  <c r="Y128" i="128"/>
  <c r="H128" i="115" s="1"/>
  <c r="C128" i="115" s="1"/>
  <c r="D128" i="115" s="1"/>
  <c r="Y55" i="128"/>
  <c r="H55" i="115" s="1"/>
  <c r="C55" i="115" s="1"/>
  <c r="Y129" i="128"/>
  <c r="H129" i="115" s="1"/>
  <c r="C129" i="115" s="1"/>
  <c r="D129" i="115" s="1"/>
  <c r="Y79" i="128"/>
  <c r="H79" i="115" s="1"/>
  <c r="C79" i="115" s="1"/>
  <c r="D79" i="115" s="1"/>
  <c r="Y130" i="128"/>
  <c r="H130" i="115" s="1"/>
  <c r="C130" i="115" s="1"/>
  <c r="D130" i="115" s="1"/>
  <c r="Y75" i="128"/>
  <c r="H75" i="115" s="1"/>
  <c r="C75" i="115" s="1"/>
  <c r="D75" i="115" s="1"/>
  <c r="Y61" i="128"/>
  <c r="H61" i="115" s="1"/>
  <c r="C61" i="115" s="1"/>
  <c r="Y66" i="128"/>
  <c r="H66" i="115" s="1"/>
  <c r="C66" i="115" s="1"/>
  <c r="Y67" i="128"/>
  <c r="H67" i="115" s="1"/>
  <c r="C67" i="115" s="1"/>
  <c r="D67" i="115" s="1"/>
  <c r="Y64" i="128"/>
  <c r="H64" i="115" s="1"/>
  <c r="C64" i="115" s="1"/>
  <c r="Y69" i="128"/>
  <c r="H69" i="115" s="1"/>
  <c r="C69" i="115" s="1"/>
  <c r="D69" i="115" s="1"/>
  <c r="Y87" i="128"/>
  <c r="H87" i="115" s="1"/>
  <c r="C87" i="115" s="1"/>
  <c r="D87" i="115" s="1"/>
  <c r="Y121" i="128"/>
  <c r="H121" i="115" s="1"/>
  <c r="C121" i="115" s="1"/>
  <c r="D121" i="115" s="1"/>
  <c r="Y78" i="128"/>
  <c r="H78" i="115" s="1"/>
  <c r="C78" i="115" s="1"/>
  <c r="D78" i="115" s="1"/>
  <c r="Y126" i="128"/>
  <c r="H126" i="115" s="1"/>
  <c r="C126" i="115" s="1"/>
  <c r="D126" i="115" s="1"/>
  <c r="Y81" i="128"/>
  <c r="H81" i="115" s="1"/>
  <c r="C81" i="115" s="1"/>
  <c r="D81" i="115" s="1"/>
  <c r="Y93" i="128"/>
  <c r="H93" i="115" s="1"/>
  <c r="C93" i="115" s="1"/>
  <c r="D93" i="115" s="1"/>
  <c r="Y77" i="128"/>
  <c r="H77" i="115" s="1"/>
  <c r="C77" i="115" s="1"/>
  <c r="D77" i="115" s="1"/>
  <c r="Y3" i="128"/>
  <c r="H3" i="115" s="1"/>
  <c r="C3" i="115" s="1"/>
  <c r="E3" i="131"/>
  <c r="Y31" i="128"/>
  <c r="H31" i="115" s="1"/>
  <c r="C31" i="115" s="1"/>
  <c r="E31" i="131"/>
  <c r="Y41" i="128"/>
  <c r="H41" i="115" s="1"/>
  <c r="C41" i="115" s="1"/>
  <c r="E41" i="131"/>
  <c r="Y19" i="128"/>
  <c r="H19" i="115" s="1"/>
  <c r="C19" i="115" s="1"/>
  <c r="E19" i="131"/>
  <c r="T42" i="128"/>
  <c r="Y50" i="128"/>
  <c r="H50" i="115" s="1"/>
  <c r="C50" i="115" s="1"/>
  <c r="E50" i="131"/>
  <c r="Y12" i="128"/>
  <c r="H12" i="115" s="1"/>
  <c r="C12" i="115" s="1"/>
  <c r="E12" i="131"/>
  <c r="Y45" i="128"/>
  <c r="H45" i="115" s="1"/>
  <c r="C45" i="115" s="1"/>
  <c r="E45" i="131"/>
  <c r="Y33" i="128"/>
  <c r="H33" i="115" s="1"/>
  <c r="C33" i="115" s="1"/>
  <c r="E33" i="131"/>
  <c r="Y51" i="128"/>
  <c r="H51" i="115" s="1"/>
  <c r="C51" i="115" s="1"/>
  <c r="E51" i="131"/>
  <c r="Y25" i="128"/>
  <c r="H25" i="115" s="1"/>
  <c r="C25" i="115" s="1"/>
  <c r="E25" i="131"/>
  <c r="Y40" i="128"/>
  <c r="H40" i="115" s="1"/>
  <c r="C40" i="115" s="1"/>
  <c r="E40" i="131"/>
  <c r="R49" i="128"/>
  <c r="Y44" i="128"/>
  <c r="H44" i="115" s="1"/>
  <c r="C44" i="115" s="1"/>
  <c r="E44" i="131"/>
  <c r="AV28" i="128"/>
  <c r="Y39" i="128"/>
  <c r="H39" i="115" s="1"/>
  <c r="C39" i="115" s="1"/>
  <c r="E39" i="131"/>
  <c r="BW12" i="128"/>
  <c r="P12" i="131"/>
  <c r="Y6" i="128"/>
  <c r="H6" i="115" s="1"/>
  <c r="C6" i="115" s="1"/>
  <c r="E6" i="131"/>
  <c r="Y21" i="128"/>
  <c r="H21" i="115" s="1"/>
  <c r="C21" i="115" s="1"/>
  <c r="E21" i="131"/>
  <c r="CF38" i="128"/>
  <c r="L38" i="131"/>
  <c r="Y32" i="128"/>
  <c r="H32" i="115" s="1"/>
  <c r="C32" i="115" s="1"/>
  <c r="E32" i="131"/>
  <c r="Y8" i="128"/>
  <c r="H8" i="115" s="1"/>
  <c r="C8" i="115" s="1"/>
  <c r="E8" i="131"/>
  <c r="AV5" i="128"/>
  <c r="L5" i="131"/>
  <c r="BW7" i="128"/>
  <c r="L7" i="131"/>
  <c r="AV22" i="128"/>
  <c r="L22" i="131"/>
  <c r="AV17" i="128"/>
  <c r="AV36" i="128"/>
  <c r="AV42" i="128"/>
  <c r="Y38" i="128"/>
  <c r="H38" i="115" s="1"/>
  <c r="C38" i="115" s="1"/>
  <c r="E38" i="131"/>
  <c r="Y47" i="128"/>
  <c r="H47" i="115" s="1"/>
  <c r="C47" i="115" s="1"/>
  <c r="E47" i="131"/>
  <c r="Y10" i="128"/>
  <c r="H10" i="115" s="1"/>
  <c r="C10" i="115" s="1"/>
  <c r="E10" i="131"/>
  <c r="Y15" i="128"/>
  <c r="H15" i="115" s="1"/>
  <c r="C15" i="115" s="1"/>
  <c r="E15" i="131"/>
  <c r="Y16" i="128"/>
  <c r="H16" i="115" s="1"/>
  <c r="C16" i="115" s="1"/>
  <c r="E16" i="131"/>
  <c r="Y30" i="128"/>
  <c r="H30" i="115" s="1"/>
  <c r="C30" i="115" s="1"/>
  <c r="E30" i="131"/>
  <c r="Y14" i="128"/>
  <c r="H14" i="115" s="1"/>
  <c r="C14" i="115" s="1"/>
  <c r="E14" i="131"/>
  <c r="Y37" i="128"/>
  <c r="H37" i="115" s="1"/>
  <c r="C37" i="115" s="1"/>
  <c r="E37" i="131"/>
  <c r="Y46" i="128"/>
  <c r="H46" i="115" s="1"/>
  <c r="C46" i="115" s="1"/>
  <c r="E46" i="131"/>
  <c r="Y36" i="128"/>
  <c r="H36" i="115" s="1"/>
  <c r="C36" i="115" s="1"/>
  <c r="E36" i="131"/>
  <c r="Y22" i="128"/>
  <c r="H22" i="115" s="1"/>
  <c r="C22" i="115" s="1"/>
  <c r="E22" i="131"/>
  <c r="Y29" i="128"/>
  <c r="H29" i="115" s="1"/>
  <c r="C29" i="115" s="1"/>
  <c r="E29" i="131"/>
  <c r="Y24" i="128"/>
  <c r="H24" i="115" s="1"/>
  <c r="C24" i="115" s="1"/>
  <c r="E24" i="131"/>
  <c r="Y52" i="128"/>
  <c r="H52" i="115" s="1"/>
  <c r="C52" i="115" s="1"/>
  <c r="E52" i="131"/>
  <c r="Y27" i="128"/>
  <c r="H27" i="115" s="1"/>
  <c r="C27" i="115" s="1"/>
  <c r="E27" i="131"/>
  <c r="Y35" i="128"/>
  <c r="H35" i="115" s="1"/>
  <c r="C35" i="115" s="1"/>
  <c r="E35" i="131"/>
  <c r="Y17" i="128"/>
  <c r="H17" i="115" s="1"/>
  <c r="C17" i="115" s="1"/>
  <c r="E17" i="131"/>
  <c r="Y34" i="128"/>
  <c r="H34" i="115" s="1"/>
  <c r="C34" i="115" s="1"/>
  <c r="E34" i="131"/>
  <c r="Y9" i="128"/>
  <c r="H9" i="115" s="1"/>
  <c r="C9" i="115" s="1"/>
  <c r="E9" i="131"/>
  <c r="BM42" i="128"/>
  <c r="Y48" i="128"/>
  <c r="H48" i="115" s="1"/>
  <c r="C48" i="115" s="1"/>
  <c r="E48" i="131"/>
  <c r="Y53" i="128"/>
  <c r="H53" i="115" s="1"/>
  <c r="C53" i="115" s="1"/>
  <c r="E53" i="131"/>
  <c r="Y7" i="128"/>
  <c r="H7" i="115" s="1"/>
  <c r="C7" i="115" s="1"/>
  <c r="E7" i="131"/>
  <c r="T29" i="128"/>
  <c r="I43" i="131" s="1"/>
  <c r="Y43" i="128"/>
  <c r="H43" i="115" s="1"/>
  <c r="C43" i="115" s="1"/>
  <c r="E43" i="131"/>
  <c r="AV27" i="128"/>
  <c r="L27" i="131"/>
  <c r="Y5" i="128"/>
  <c r="H5" i="115" s="1"/>
  <c r="C5" i="115" s="1"/>
  <c r="E5" i="131"/>
  <c r="AV30" i="128"/>
  <c r="AV46" i="128"/>
  <c r="T45" i="128"/>
  <c r="BW5" i="128"/>
  <c r="T96" i="128"/>
  <c r="T124" i="128"/>
  <c r="BM32" i="128"/>
  <c r="T22" i="128"/>
  <c r="CF12" i="128"/>
  <c r="T11" i="128"/>
  <c r="T59" i="128"/>
  <c r="T107" i="128"/>
  <c r="BM4" i="128"/>
  <c r="T8" i="128"/>
  <c r="AV68" i="128"/>
  <c r="BM7" i="128"/>
  <c r="T13" i="128"/>
  <c r="T71" i="128"/>
  <c r="T115" i="128"/>
  <c r="BM46" i="128"/>
  <c r="BE68" i="128"/>
  <c r="T44" i="128"/>
  <c r="T41" i="128"/>
  <c r="BM50" i="128"/>
  <c r="BM23" i="128"/>
  <c r="BM13" i="128"/>
  <c r="T26" i="128"/>
  <c r="T104" i="128"/>
  <c r="T49" i="128"/>
  <c r="T99" i="128"/>
  <c r="BE111" i="128"/>
  <c r="T20" i="128"/>
  <c r="BM38" i="128"/>
  <c r="BM49" i="128"/>
  <c r="BM15" i="128"/>
  <c r="BM6" i="128"/>
  <c r="BM11" i="128"/>
  <c r="BM16" i="128"/>
  <c r="BM53" i="128"/>
  <c r="BM35" i="128"/>
  <c r="BM43" i="128"/>
  <c r="BM18" i="128"/>
  <c r="BM12" i="128"/>
  <c r="BM39" i="128"/>
  <c r="BM26" i="128"/>
  <c r="BM52" i="128"/>
  <c r="BM19" i="128"/>
  <c r="BM14" i="128"/>
  <c r="BM51" i="128"/>
  <c r="BM41" i="128"/>
  <c r="BM28" i="128"/>
  <c r="BM37" i="128"/>
  <c r="BM22" i="128"/>
  <c r="BM21" i="128"/>
  <c r="BM48" i="128"/>
  <c r="BM27" i="128"/>
  <c r="BM17" i="128"/>
  <c r="BM10" i="128"/>
  <c r="BM44" i="128"/>
  <c r="BM45" i="128"/>
  <c r="BM40" i="128"/>
  <c r="BM8" i="128"/>
  <c r="BM29" i="128"/>
  <c r="BM47" i="128"/>
  <c r="BM5" i="128"/>
  <c r="BM36" i="128"/>
  <c r="BM31" i="128"/>
  <c r="BM9" i="128"/>
  <c r="BM3" i="128"/>
  <c r="BM20" i="128"/>
  <c r="R48" i="128"/>
  <c r="BM33" i="128"/>
  <c r="R29" i="128"/>
  <c r="BM24" i="128"/>
  <c r="BD11" i="128"/>
  <c r="BM25" i="128"/>
  <c r="R15" i="128"/>
  <c r="R40" i="128"/>
  <c r="BM30" i="128"/>
  <c r="R20" i="128"/>
  <c r="BM34" i="128"/>
  <c r="R46" i="128"/>
  <c r="Q17" i="128"/>
  <c r="R44" i="128"/>
  <c r="BD28" i="128"/>
  <c r="BD18" i="128"/>
  <c r="T46" i="128"/>
  <c r="BE52" i="128"/>
  <c r="BE14" i="128"/>
  <c r="Q40" i="128"/>
  <c r="T83" i="128"/>
  <c r="Q53" i="128"/>
  <c r="T10" i="128"/>
  <c r="T48" i="128"/>
  <c r="BN121" i="128"/>
  <c r="BD24" i="128"/>
  <c r="R33" i="128"/>
  <c r="Q46" i="128"/>
  <c r="BE38" i="128"/>
  <c r="BD19" i="128"/>
  <c r="BD23" i="128"/>
  <c r="BD14" i="128"/>
  <c r="Q31" i="128"/>
  <c r="Q16" i="128"/>
  <c r="BN38" i="128"/>
  <c r="BD22" i="128"/>
  <c r="T103" i="128"/>
  <c r="AV38" i="128"/>
  <c r="BW38" i="128"/>
  <c r="BD36" i="128"/>
  <c r="BD8" i="128"/>
  <c r="BD17" i="128"/>
  <c r="BD40" i="128"/>
  <c r="BD39" i="128"/>
  <c r="BD6" i="128"/>
  <c r="BD5" i="128"/>
  <c r="BD10" i="128"/>
  <c r="BD13" i="128"/>
  <c r="BD43" i="128"/>
  <c r="BD38" i="128"/>
  <c r="BD30" i="128"/>
  <c r="BD51" i="128"/>
  <c r="BD4" i="128"/>
  <c r="BD15" i="128"/>
  <c r="BD7" i="128"/>
  <c r="BD41" i="128"/>
  <c r="BD26" i="128"/>
  <c r="BD53" i="128"/>
  <c r="BD9" i="128"/>
  <c r="BD52" i="128"/>
  <c r="BD12" i="128"/>
  <c r="BD34" i="128"/>
  <c r="BD20" i="128"/>
  <c r="R34" i="128"/>
  <c r="BD44" i="128"/>
  <c r="Q64" i="128"/>
  <c r="BD25" i="128"/>
  <c r="Q11" i="128"/>
  <c r="BD35" i="128"/>
  <c r="Q48" i="128"/>
  <c r="BD31" i="128"/>
  <c r="Q3" i="128"/>
  <c r="BD21" i="128"/>
  <c r="AU44" i="128"/>
  <c r="BD37" i="128"/>
  <c r="R37" i="128"/>
  <c r="BD47" i="128"/>
  <c r="Q24" i="128"/>
  <c r="BD29" i="128"/>
  <c r="R17" i="128"/>
  <c r="BD48" i="128"/>
  <c r="Q47" i="128"/>
  <c r="BD33" i="128"/>
  <c r="R51" i="128"/>
  <c r="H51" i="131" s="1"/>
  <c r="BD49" i="128"/>
  <c r="R32" i="128"/>
  <c r="BD16" i="128"/>
  <c r="R28" i="128"/>
  <c r="BD45" i="128"/>
  <c r="R27" i="128"/>
  <c r="BD42" i="128"/>
  <c r="R43" i="128"/>
  <c r="BD27" i="128"/>
  <c r="R31" i="128"/>
  <c r="BD50" i="128"/>
  <c r="AU21" i="128"/>
  <c r="BD3" i="128"/>
  <c r="R41" i="128"/>
  <c r="BD32" i="128"/>
  <c r="R50" i="128"/>
  <c r="BD46" i="128"/>
  <c r="Q22" i="128"/>
  <c r="T106" i="128"/>
  <c r="AV111" i="128"/>
  <c r="Q37" i="128"/>
  <c r="AU5" i="128"/>
  <c r="Q25" i="128"/>
  <c r="F25" i="131" s="1"/>
  <c r="Q23" i="128"/>
  <c r="CF27" i="128"/>
  <c r="T76" i="128"/>
  <c r="BE27" i="128"/>
  <c r="CF111" i="128"/>
  <c r="T94" i="128"/>
  <c r="AV76" i="128"/>
  <c r="AU22" i="128"/>
  <c r="AU6" i="128"/>
  <c r="Q112" i="128"/>
  <c r="Q101" i="128"/>
  <c r="Q95" i="128"/>
  <c r="Q91" i="128"/>
  <c r="Q60" i="128"/>
  <c r="T51" i="128"/>
  <c r="T86" i="128"/>
  <c r="Q38" i="128"/>
  <c r="T6" i="128"/>
  <c r="T14" i="128"/>
  <c r="T52" i="128"/>
  <c r="Q7" i="128"/>
  <c r="Q33" i="128"/>
  <c r="AV121" i="128"/>
  <c r="CF76" i="128"/>
  <c r="BW76" i="128"/>
  <c r="Q9" i="128"/>
  <c r="R45" i="128"/>
  <c r="R30" i="128"/>
  <c r="Q30" i="128"/>
  <c r="BW121" i="128"/>
  <c r="BE121" i="128"/>
  <c r="R4" i="128"/>
  <c r="H4" i="131" s="1"/>
  <c r="Q34" i="128"/>
  <c r="Q18" i="128"/>
  <c r="Q32" i="128"/>
  <c r="Q36" i="128"/>
  <c r="F36" i="131" s="1"/>
  <c r="Q14" i="128"/>
  <c r="T68" i="128"/>
  <c r="T57" i="128"/>
  <c r="T50" i="128"/>
  <c r="Q44" i="128"/>
  <c r="Q100" i="128"/>
  <c r="Q29" i="128"/>
  <c r="Q67" i="128"/>
  <c r="Q71" i="128"/>
  <c r="Q128" i="128"/>
  <c r="Q98" i="128"/>
  <c r="Q102" i="128"/>
  <c r="Q108" i="128"/>
  <c r="Q111" i="128"/>
  <c r="Q75" i="128"/>
  <c r="Q127" i="128"/>
  <c r="Q117" i="128"/>
  <c r="Q114" i="128"/>
  <c r="Q74" i="128"/>
  <c r="Q57" i="128"/>
  <c r="Q130" i="128"/>
  <c r="Q81" i="128"/>
  <c r="Q99" i="128"/>
  <c r="Q62" i="128"/>
  <c r="Q97" i="128"/>
  <c r="Q118" i="128"/>
  <c r="Q105" i="128"/>
  <c r="Q121" i="128"/>
  <c r="Q123" i="128"/>
  <c r="Q26" i="128"/>
  <c r="Q54" i="128"/>
  <c r="S100" i="128" s="1"/>
  <c r="Q19" i="128"/>
  <c r="CF14" i="128"/>
  <c r="AU19" i="128"/>
  <c r="AU29" i="128"/>
  <c r="R18" i="128"/>
  <c r="Q129" i="128"/>
  <c r="BN14" i="128"/>
  <c r="BW14" i="128"/>
  <c r="Q76" i="128"/>
  <c r="Q66" i="128"/>
  <c r="Q70" i="128"/>
  <c r="Q63" i="128"/>
  <c r="Q83" i="128"/>
  <c r="Q116" i="128"/>
  <c r="Q92" i="128"/>
  <c r="Q94" i="128"/>
  <c r="Q65" i="128"/>
  <c r="Q15" i="128"/>
  <c r="BN52" i="128"/>
  <c r="CF52" i="128"/>
  <c r="AU4" i="128"/>
  <c r="Q56" i="128"/>
  <c r="R14" i="128"/>
  <c r="R19" i="128"/>
  <c r="AU43" i="128"/>
  <c r="T121" i="128"/>
  <c r="Q21" i="128"/>
  <c r="AU3" i="128"/>
  <c r="Q41" i="128"/>
  <c r="Q20" i="128"/>
  <c r="Q49" i="128"/>
  <c r="Q8" i="128"/>
  <c r="F8" i="131" s="1"/>
  <c r="T38" i="128"/>
  <c r="Q45" i="128"/>
  <c r="R26" i="128"/>
  <c r="AU25" i="128"/>
  <c r="AU52" i="128"/>
  <c r="Q27" i="128"/>
  <c r="Q107" i="128"/>
  <c r="BN76" i="128"/>
  <c r="AU13" i="128"/>
  <c r="Q4" i="128"/>
  <c r="F4" i="131" s="1"/>
  <c r="Q50" i="128"/>
  <c r="T112" i="128"/>
  <c r="AU28" i="128"/>
  <c r="AU48" i="128"/>
  <c r="AU18" i="128"/>
  <c r="AU20" i="128"/>
  <c r="AU9" i="128"/>
  <c r="AU14" i="128"/>
  <c r="AU40" i="128"/>
  <c r="AU26" i="128"/>
  <c r="AU27" i="128"/>
  <c r="AU47" i="128"/>
  <c r="AU12" i="128"/>
  <c r="AU23" i="128"/>
  <c r="AU24" i="128"/>
  <c r="R52" i="128"/>
  <c r="AU42" i="128"/>
  <c r="R9" i="128"/>
  <c r="AU32" i="128"/>
  <c r="R21" i="128"/>
  <c r="AU53" i="128"/>
  <c r="R7" i="128"/>
  <c r="AU35" i="128"/>
  <c r="Q90" i="128"/>
  <c r="AU8" i="128"/>
  <c r="Q5" i="128"/>
  <c r="AU36" i="128"/>
  <c r="R39" i="128"/>
  <c r="AU7" i="128"/>
  <c r="R25" i="128"/>
  <c r="H25" i="131" s="1"/>
  <c r="AU49" i="128"/>
  <c r="R3" i="128"/>
  <c r="AU38" i="128"/>
  <c r="Q28" i="128"/>
  <c r="F28" i="131" s="1"/>
  <c r="AU11" i="128"/>
  <c r="Q10" i="128"/>
  <c r="F10" i="131" s="1"/>
  <c r="AU31" i="128"/>
  <c r="R42" i="128"/>
  <c r="AU33" i="128"/>
  <c r="R23" i="128"/>
  <c r="AU50" i="128"/>
  <c r="R12" i="128"/>
  <c r="AU30" i="128"/>
  <c r="R36" i="128"/>
  <c r="H36" i="131" s="1"/>
  <c r="AU17" i="128"/>
  <c r="R13" i="128"/>
  <c r="AU37" i="128"/>
  <c r="R24" i="128"/>
  <c r="H24" i="131" s="1"/>
  <c r="AU34" i="128"/>
  <c r="Q51" i="128"/>
  <c r="AU10" i="128"/>
  <c r="R22" i="128"/>
  <c r="AU15" i="128"/>
  <c r="Q35" i="128"/>
  <c r="AU16" i="128"/>
  <c r="R6" i="128"/>
  <c r="AU39" i="128"/>
  <c r="R16" i="128"/>
  <c r="H16" i="131" s="1"/>
  <c r="AU41" i="128"/>
  <c r="R8" i="128"/>
  <c r="AU46" i="128"/>
  <c r="R11" i="128"/>
  <c r="AU45" i="128"/>
  <c r="R47" i="128"/>
  <c r="AU51" i="128"/>
  <c r="Q58" i="128"/>
  <c r="Q96" i="128"/>
  <c r="Q61" i="128"/>
  <c r="T74" i="128"/>
  <c r="R5" i="128"/>
  <c r="H5" i="131" s="1"/>
  <c r="T27" i="128"/>
  <c r="R10" i="128"/>
  <c r="Q52" i="128"/>
  <c r="Q6" i="128"/>
  <c r="Q12" i="128"/>
  <c r="T111" i="128"/>
  <c r="Q80" i="128"/>
  <c r="Q55" i="128"/>
  <c r="Q68" i="128"/>
  <c r="Q88" i="128"/>
  <c r="Q119" i="128"/>
  <c r="Q78" i="128"/>
  <c r="Q109" i="128"/>
  <c r="Q69" i="128"/>
  <c r="Q79" i="128"/>
  <c r="Q93" i="128"/>
  <c r="Q84" i="128"/>
  <c r="Q87" i="128"/>
  <c r="Q126" i="128"/>
  <c r="Q124" i="128"/>
  <c r="Q89" i="128"/>
  <c r="Q73" i="128"/>
  <c r="Q39" i="128"/>
  <c r="Q122" i="128"/>
  <c r="Q125" i="128"/>
  <c r="Q106" i="128"/>
  <c r="Q113" i="128"/>
  <c r="Q110" i="128"/>
  <c r="Q103" i="128"/>
  <c r="Q77" i="128"/>
  <c r="Q120" i="128"/>
  <c r="Q86" i="128"/>
  <c r="Q82" i="128"/>
  <c r="Q115" i="128"/>
  <c r="Q85" i="128"/>
  <c r="Q72" i="128"/>
  <c r="Q59" i="128"/>
  <c r="Q104" i="128"/>
  <c r="Q13" i="128"/>
  <c r="Q42" i="128"/>
  <c r="BB3" i="47"/>
  <c r="AM8" i="47"/>
  <c r="BA9" i="47"/>
  <c r="BB2" i="47"/>
  <c r="BB1" i="47"/>
  <c r="H11" i="131" l="1"/>
  <c r="H8" i="131"/>
  <c r="H21" i="131"/>
  <c r="F27" i="131"/>
  <c r="H47" i="131"/>
  <c r="H6" i="131"/>
  <c r="H9" i="131"/>
  <c r="I27" i="131"/>
  <c r="I13" i="131"/>
  <c r="I38" i="131"/>
  <c r="I8" i="131"/>
  <c r="I41" i="131"/>
  <c r="I14" i="131"/>
  <c r="F31" i="131"/>
  <c r="I46" i="131"/>
  <c r="I42" i="131"/>
  <c r="I22" i="131"/>
  <c r="H50" i="131"/>
  <c r="I6" i="131"/>
  <c r="H37" i="131"/>
  <c r="I50" i="131"/>
  <c r="I7" i="131"/>
  <c r="S123" i="128"/>
  <c r="I31" i="131"/>
  <c r="F38" i="131"/>
  <c r="I11" i="131"/>
  <c r="F32" i="131"/>
  <c r="H22" i="131"/>
  <c r="H23" i="131"/>
  <c r="F15" i="131"/>
  <c r="F6" i="131"/>
  <c r="I33" i="131"/>
  <c r="H43" i="131"/>
  <c r="S28" i="128"/>
  <c r="H52" i="131"/>
  <c r="F7" i="131"/>
  <c r="H34" i="131"/>
  <c r="S95" i="128"/>
  <c r="F12" i="131"/>
  <c r="H30" i="131"/>
  <c r="F35" i="131"/>
  <c r="H42" i="131"/>
  <c r="F41" i="131"/>
  <c r="H18" i="131"/>
  <c r="F19" i="131"/>
  <c r="I52" i="131"/>
  <c r="I10" i="131"/>
  <c r="F42" i="131"/>
  <c r="H19" i="131"/>
  <c r="H45" i="131"/>
  <c r="H41" i="131"/>
  <c r="H31" i="131"/>
  <c r="H27" i="131"/>
  <c r="F51" i="131"/>
  <c r="F13" i="131"/>
  <c r="F52" i="131"/>
  <c r="H26" i="131"/>
  <c r="F49" i="131"/>
  <c r="F33" i="131"/>
  <c r="F37" i="131"/>
  <c r="F39" i="131"/>
  <c r="H10" i="131"/>
  <c r="H39" i="131"/>
  <c r="F45" i="131"/>
  <c r="H13" i="131"/>
  <c r="H12" i="131"/>
  <c r="F5" i="131"/>
  <c r="H7" i="131"/>
  <c r="F29" i="131"/>
  <c r="I51" i="131"/>
  <c r="F22" i="131"/>
  <c r="H32" i="131"/>
  <c r="F47" i="131"/>
  <c r="F24" i="131"/>
  <c r="F48" i="131"/>
  <c r="F16" i="131"/>
  <c r="F53" i="131"/>
  <c r="H44" i="131"/>
  <c r="H20" i="131"/>
  <c r="I20" i="131"/>
  <c r="I17" i="131"/>
  <c r="I39" i="131"/>
  <c r="H53" i="131"/>
  <c r="F50" i="131"/>
  <c r="F21" i="131"/>
  <c r="H14" i="131"/>
  <c r="F26" i="131"/>
  <c r="F9" i="131"/>
  <c r="F17" i="131"/>
  <c r="H48" i="131"/>
  <c r="I26" i="131"/>
  <c r="I45" i="131"/>
  <c r="I5" i="131"/>
  <c r="I9" i="131"/>
  <c r="H3" i="131"/>
  <c r="F44" i="131"/>
  <c r="F14" i="131"/>
  <c r="F34" i="131"/>
  <c r="F30" i="131"/>
  <c r="F23" i="131"/>
  <c r="H28" i="131"/>
  <c r="H17" i="131"/>
  <c r="F3" i="131"/>
  <c r="F11" i="131"/>
  <c r="F46" i="131"/>
  <c r="I48" i="131"/>
  <c r="F40" i="131"/>
  <c r="H46" i="131"/>
  <c r="H40" i="131"/>
  <c r="I44" i="131"/>
  <c r="I29" i="131"/>
  <c r="H49" i="131"/>
  <c r="I30" i="131"/>
  <c r="I23" i="131"/>
  <c r="I34" i="131"/>
  <c r="I12" i="131"/>
  <c r="H33" i="131"/>
  <c r="H15" i="131"/>
  <c r="H29" i="131"/>
  <c r="I49" i="131"/>
  <c r="H35" i="131"/>
  <c r="H38" i="131"/>
  <c r="F43" i="131"/>
  <c r="I19" i="131"/>
  <c r="I3" i="131"/>
  <c r="I21" i="131"/>
  <c r="D34" i="115"/>
  <c r="B34" i="115" s="1"/>
  <c r="D9" i="120" s="1"/>
  <c r="A5" i="109"/>
  <c r="A9" i="120"/>
  <c r="A117" i="120"/>
  <c r="D52" i="115"/>
  <c r="B52" i="115" s="1"/>
  <c r="D117" i="120" s="1"/>
  <c r="A125" i="120"/>
  <c r="D36" i="115"/>
  <c r="B36" i="115" s="1"/>
  <c r="D125" i="120" s="1"/>
  <c r="A41" i="120"/>
  <c r="D30" i="115"/>
  <c r="B30" i="115" s="1"/>
  <c r="D41" i="120" s="1"/>
  <c r="A21" i="109"/>
  <c r="A56" i="120"/>
  <c r="D47" i="115"/>
  <c r="B47" i="115" s="1"/>
  <c r="D56" i="120" s="1"/>
  <c r="A124" i="120"/>
  <c r="D33" i="115"/>
  <c r="B33" i="115" s="1"/>
  <c r="D124" i="120" s="1"/>
  <c r="A64" i="109"/>
  <c r="A104" i="120"/>
  <c r="D41" i="115"/>
  <c r="B41" i="115" s="1"/>
  <c r="D104" i="120" s="1"/>
  <c r="A69" i="120"/>
  <c r="D64" i="115"/>
  <c r="A48" i="120"/>
  <c r="D55" i="115"/>
  <c r="A64" i="120"/>
  <c r="D63" i="115"/>
  <c r="D62" i="115"/>
  <c r="A37" i="120"/>
  <c r="D59" i="115"/>
  <c r="A32" i="120"/>
  <c r="D65" i="115"/>
  <c r="A128" i="120"/>
  <c r="D23" i="115"/>
  <c r="B23" i="115" s="1"/>
  <c r="D44" i="120" s="1"/>
  <c r="A24" i="109"/>
  <c r="A44" i="120"/>
  <c r="A121" i="120"/>
  <c r="D20" i="115"/>
  <c r="B20" i="115" s="1"/>
  <c r="D121" i="120" s="1"/>
  <c r="A61" i="109"/>
  <c r="A76" i="120"/>
  <c r="D48" i="115"/>
  <c r="B48" i="115" s="1"/>
  <c r="D76" i="120" s="1"/>
  <c r="A28" i="110"/>
  <c r="D9" i="115"/>
  <c r="B9" i="115" s="1"/>
  <c r="D100" i="120" s="1"/>
  <c r="A52" i="109"/>
  <c r="A100" i="120"/>
  <c r="A16" i="119"/>
  <c r="A28" i="120"/>
  <c r="A16" i="109"/>
  <c r="D27" i="115"/>
  <c r="B27" i="115" s="1"/>
  <c r="D28" i="120" s="1"/>
  <c r="A57" i="120"/>
  <c r="D22" i="115"/>
  <c r="B22" i="115" s="1"/>
  <c r="D57" i="120" s="1"/>
  <c r="A29" i="109"/>
  <c r="A8" i="56"/>
  <c r="A49" i="120"/>
  <c r="A13" i="110"/>
  <c r="A25" i="109"/>
  <c r="D14" i="115"/>
  <c r="B14" i="115" s="1"/>
  <c r="D49" i="120" s="1"/>
  <c r="A17" i="109"/>
  <c r="A9" i="110"/>
  <c r="A5" i="119"/>
  <c r="A4" i="55"/>
  <c r="A33" i="120"/>
  <c r="D10" i="115"/>
  <c r="B10" i="115" s="1"/>
  <c r="D33" i="120" s="1"/>
  <c r="D51" i="115"/>
  <c r="B51" i="115" s="1"/>
  <c r="D16" i="120" s="1"/>
  <c r="A16" i="120"/>
  <c r="A13" i="120"/>
  <c r="D50" i="115"/>
  <c r="B50" i="115" s="1"/>
  <c r="D13" i="120" s="1"/>
  <c r="D19" i="115"/>
  <c r="B19" i="115" s="1"/>
  <c r="D12" i="120" s="1"/>
  <c r="A12" i="120"/>
  <c r="A8" i="109"/>
  <c r="A101" i="120"/>
  <c r="D60" i="115"/>
  <c r="D56" i="115"/>
  <c r="A85" i="120"/>
  <c r="A13" i="56"/>
  <c r="A44" i="109"/>
  <c r="A84" i="120"/>
  <c r="D13" i="115"/>
  <c r="B13" i="115" s="1"/>
  <c r="D84" i="120" s="1"/>
  <c r="A24" i="110"/>
  <c r="A9" i="109"/>
  <c r="A17" i="120"/>
  <c r="D18" i="115"/>
  <c r="B18" i="115" s="1"/>
  <c r="D17" i="120" s="1"/>
  <c r="A4" i="56"/>
  <c r="A5" i="110"/>
  <c r="S42" i="128"/>
  <c r="F18" i="131"/>
  <c r="A20" i="110"/>
  <c r="A12" i="119"/>
  <c r="A36" i="109"/>
  <c r="A68" i="120"/>
  <c r="D5" i="115"/>
  <c r="B5" i="115" s="1"/>
  <c r="D68" i="120" s="1"/>
  <c r="A8" i="118"/>
  <c r="A80" i="120"/>
  <c r="D53" i="115"/>
  <c r="B53" i="115" s="1"/>
  <c r="D80" i="120" s="1"/>
  <c r="A8" i="120"/>
  <c r="D35" i="115"/>
  <c r="B35" i="115" s="1"/>
  <c r="D8" i="120" s="1"/>
  <c r="D29" i="115"/>
  <c r="B29" i="115" s="1"/>
  <c r="D92" i="120" s="1"/>
  <c r="A48" i="109"/>
  <c r="A92" i="120"/>
  <c r="A72" i="120"/>
  <c r="D37" i="115"/>
  <c r="B37" i="115" s="1"/>
  <c r="D72" i="120" s="1"/>
  <c r="A28" i="109"/>
  <c r="D15" i="115"/>
  <c r="B15" i="115" s="1"/>
  <c r="D52" i="120" s="1"/>
  <c r="A16" i="110"/>
  <c r="A9" i="56"/>
  <c r="A52" i="120"/>
  <c r="D32" i="115"/>
  <c r="B32" i="115" s="1"/>
  <c r="D73" i="120" s="1"/>
  <c r="A73" i="120"/>
  <c r="A37" i="109"/>
  <c r="D6" i="115"/>
  <c r="B6" i="115" s="1"/>
  <c r="D65" i="120" s="1"/>
  <c r="A5" i="118"/>
  <c r="A33" i="109"/>
  <c r="A65" i="120"/>
  <c r="A17" i="110"/>
  <c r="A9" i="119"/>
  <c r="D25" i="115"/>
  <c r="B25" i="115" s="1"/>
  <c r="D108" i="120" s="1"/>
  <c r="A56" i="109"/>
  <c r="A108" i="120"/>
  <c r="D12" i="115"/>
  <c r="B12" i="115" s="1"/>
  <c r="D113" i="120" s="1"/>
  <c r="A113" i="120"/>
  <c r="A29" i="110"/>
  <c r="A57" i="109"/>
  <c r="A16" i="56"/>
  <c r="A4" i="118"/>
  <c r="A4" i="110"/>
  <c r="A4" i="120"/>
  <c r="D3" i="115"/>
  <c r="B3" i="115" s="1"/>
  <c r="D4" i="120" s="1"/>
  <c r="A4" i="109"/>
  <c r="A4" i="119"/>
  <c r="D66" i="115"/>
  <c r="A5" i="120"/>
  <c r="A8" i="110"/>
  <c r="A12" i="109"/>
  <c r="A5" i="56"/>
  <c r="A20" i="120"/>
  <c r="D11" i="115"/>
  <c r="B11" i="115" s="1"/>
  <c r="D20" i="120" s="1"/>
  <c r="A29" i="120"/>
  <c r="D42" i="115"/>
  <c r="B42" i="115" s="1"/>
  <c r="D29" i="120" s="1"/>
  <c r="D49" i="115"/>
  <c r="B49" i="115" s="1"/>
  <c r="D120" i="120" s="1"/>
  <c r="A120" i="120"/>
  <c r="S32" i="128"/>
  <c r="F20" i="131"/>
  <c r="A24" i="120"/>
  <c r="D43" i="115"/>
  <c r="B43" i="115" s="1"/>
  <c r="D24" i="120" s="1"/>
  <c r="A12" i="110"/>
  <c r="A8" i="119"/>
  <c r="D7" i="115"/>
  <c r="B7" i="115" s="1"/>
  <c r="D36" i="120" s="1"/>
  <c r="A36" i="120"/>
  <c r="A20" i="109"/>
  <c r="A5" i="55"/>
  <c r="A17" i="56"/>
  <c r="D17" i="115"/>
  <c r="B17" i="115" s="1"/>
  <c r="D116" i="120" s="1"/>
  <c r="A60" i="109"/>
  <c r="A116" i="120"/>
  <c r="A32" i="110"/>
  <c r="D24" i="115"/>
  <c r="B24" i="115" s="1"/>
  <c r="D89" i="120" s="1"/>
  <c r="A45" i="109"/>
  <c r="A89" i="120"/>
  <c r="A45" i="120"/>
  <c r="D46" i="115"/>
  <c r="B46" i="115" s="1"/>
  <c r="D45" i="120" s="1"/>
  <c r="A21" i="110"/>
  <c r="A12" i="56"/>
  <c r="D16" i="115"/>
  <c r="B16" i="115" s="1"/>
  <c r="D81" i="120" s="1"/>
  <c r="A41" i="109"/>
  <c r="A81" i="120"/>
  <c r="A61" i="120"/>
  <c r="D38" i="115"/>
  <c r="B38" i="115" s="1"/>
  <c r="D61" i="120" s="1"/>
  <c r="A49" i="109"/>
  <c r="A25" i="110"/>
  <c r="A97" i="120"/>
  <c r="A13" i="119"/>
  <c r="D8" i="115"/>
  <c r="B8" i="115" s="1"/>
  <c r="D97" i="120" s="1"/>
  <c r="A77" i="120"/>
  <c r="A40" i="109"/>
  <c r="D21" i="115"/>
  <c r="B21" i="115" s="1"/>
  <c r="D77" i="120" s="1"/>
  <c r="A40" i="120"/>
  <c r="D39" i="115"/>
  <c r="B39" i="115" s="1"/>
  <c r="D40" i="120" s="1"/>
  <c r="D44" i="115"/>
  <c r="B44" i="115" s="1"/>
  <c r="D109" i="120" s="1"/>
  <c r="A109" i="120"/>
  <c r="D40" i="115"/>
  <c r="B40" i="115" s="1"/>
  <c r="D93" i="120" s="1"/>
  <c r="A93" i="120"/>
  <c r="A88" i="120"/>
  <c r="D45" i="115"/>
  <c r="B45" i="115" s="1"/>
  <c r="D88" i="120" s="1"/>
  <c r="A32" i="109"/>
  <c r="A60" i="120"/>
  <c r="D31" i="115"/>
  <c r="B31" i="115" s="1"/>
  <c r="D60" i="120" s="1"/>
  <c r="D61" i="115"/>
  <c r="A96" i="120"/>
  <c r="A112" i="120"/>
  <c r="D57" i="115"/>
  <c r="D54" i="115"/>
  <c r="B54" i="115" s="1"/>
  <c r="D53" i="120" s="1"/>
  <c r="A53" i="120"/>
  <c r="D58" i="115"/>
  <c r="A21" i="120"/>
  <c r="D4" i="115"/>
  <c r="B4" i="115" s="1"/>
  <c r="D129" i="120" s="1"/>
  <c r="A9" i="118"/>
  <c r="A65" i="109"/>
  <c r="A129" i="120"/>
  <c r="A33" i="110"/>
  <c r="A17" i="119"/>
  <c r="A105" i="120"/>
  <c r="A53" i="109"/>
  <c r="D28" i="115"/>
  <c r="B28" i="115" s="1"/>
  <c r="D105" i="120" s="1"/>
  <c r="A25" i="120"/>
  <c r="A13" i="109"/>
  <c r="D26" i="115"/>
  <c r="B26" i="115" s="1"/>
  <c r="D25" i="120" s="1"/>
  <c r="S21" i="128"/>
  <c r="S43" i="128"/>
  <c r="S39" i="128"/>
  <c r="S25" i="128"/>
  <c r="G25" i="131" s="1"/>
  <c r="S64" i="128"/>
  <c r="S82" i="128"/>
  <c r="S78" i="128"/>
  <c r="S80" i="128"/>
  <c r="S119" i="128"/>
  <c r="S81" i="128"/>
  <c r="S7" i="128"/>
  <c r="AV1" i="128"/>
  <c r="S113" i="128"/>
  <c r="S71" i="128"/>
  <c r="S65" i="128"/>
  <c r="S62" i="128"/>
  <c r="S49" i="128"/>
  <c r="S73" i="128"/>
  <c r="S107" i="128"/>
  <c r="S87" i="128"/>
  <c r="S98" i="128"/>
  <c r="S130" i="128"/>
  <c r="S48" i="128"/>
  <c r="S93" i="128"/>
  <c r="S112" i="128"/>
  <c r="S40" i="128"/>
  <c r="S69" i="128"/>
  <c r="S105" i="128"/>
  <c r="S72" i="128"/>
  <c r="S115" i="128"/>
  <c r="S110" i="128"/>
  <c r="S83" i="128"/>
  <c r="S90" i="128"/>
  <c r="S61" i="128"/>
  <c r="S54" i="128"/>
  <c r="S126" i="128"/>
  <c r="S129" i="128"/>
  <c r="S97" i="128"/>
  <c r="S106" i="128"/>
  <c r="S58" i="128"/>
  <c r="S86" i="128"/>
  <c r="S67" i="128"/>
  <c r="S108" i="128"/>
  <c r="S111" i="128"/>
  <c r="S44" i="128"/>
  <c r="S37" i="128"/>
  <c r="S22" i="128"/>
  <c r="S5" i="128"/>
  <c r="S15" i="128"/>
  <c r="S36" i="128"/>
  <c r="G36" i="131" s="1"/>
  <c r="S46" i="128"/>
  <c r="S19" i="128"/>
  <c r="S26" i="128"/>
  <c r="S23" i="128"/>
  <c r="S24" i="128"/>
  <c r="S53" i="128"/>
  <c r="S29" i="128"/>
  <c r="S11" i="128"/>
  <c r="S3" i="128"/>
  <c r="BW1" i="128"/>
  <c r="S4" i="128"/>
  <c r="G4" i="131" s="1"/>
  <c r="BE1" i="128"/>
  <c r="S47" i="128"/>
  <c r="S50" i="128"/>
  <c r="S45" i="128"/>
  <c r="G45" i="131" s="1"/>
  <c r="BN1" i="128"/>
  <c r="S34" i="128"/>
  <c r="CF1" i="128"/>
  <c r="S9" i="128"/>
  <c r="S35" i="128"/>
  <c r="S30" i="128"/>
  <c r="S125" i="128"/>
  <c r="S122" i="128"/>
  <c r="S85" i="128"/>
  <c r="S68" i="128"/>
  <c r="S57" i="128"/>
  <c r="S101" i="128"/>
  <c r="S74" i="128"/>
  <c r="S60" i="128"/>
  <c r="S121" i="128"/>
  <c r="S118" i="128"/>
  <c r="S104" i="128"/>
  <c r="S59" i="128"/>
  <c r="S89" i="128"/>
  <c r="S55" i="128"/>
  <c r="S63" i="128"/>
  <c r="S103" i="128"/>
  <c r="S70" i="128"/>
  <c r="S116" i="128"/>
  <c r="S41" i="128"/>
  <c r="G41" i="131" s="1"/>
  <c r="S128" i="128"/>
  <c r="S76" i="128"/>
  <c r="S102" i="128"/>
  <c r="S56" i="128"/>
  <c r="S79" i="128"/>
  <c r="S109" i="128"/>
  <c r="S10" i="128"/>
  <c r="S13" i="128"/>
  <c r="S77" i="128"/>
  <c r="S114" i="128"/>
  <c r="S117" i="128"/>
  <c r="S127" i="128"/>
  <c r="S91" i="128"/>
  <c r="S84" i="128"/>
  <c r="S96" i="128"/>
  <c r="S88" i="128"/>
  <c r="S124" i="128"/>
  <c r="S120" i="128"/>
  <c r="S94" i="128"/>
  <c r="S92" i="128"/>
  <c r="S66" i="128"/>
  <c r="S75" i="128"/>
  <c r="S99" i="128"/>
  <c r="S38" i="128"/>
  <c r="S51" i="128"/>
  <c r="S17" i="128"/>
  <c r="S12" i="128"/>
  <c r="S6" i="128"/>
  <c r="S31" i="128"/>
  <c r="S27" i="128"/>
  <c r="S33" i="128"/>
  <c r="S18" i="128"/>
  <c r="S20" i="128"/>
  <c r="S8" i="128"/>
  <c r="S52" i="128"/>
  <c r="G52" i="131" s="1"/>
  <c r="S16" i="128"/>
  <c r="S14" i="128"/>
  <c r="BB9" i="47"/>
  <c r="J1" i="125"/>
  <c r="J1" i="123"/>
  <c r="J2" i="123"/>
  <c r="J1" i="124"/>
  <c r="J2" i="124"/>
  <c r="J2" i="126"/>
  <c r="J2" i="127"/>
  <c r="J2" i="125"/>
  <c r="J1" i="126"/>
  <c r="J1" i="127"/>
  <c r="G9" i="131" l="1"/>
  <c r="G47" i="131"/>
  <c r="G18" i="131"/>
  <c r="G39" i="131"/>
  <c r="G53" i="131"/>
  <c r="G33" i="131"/>
  <c r="G12" i="131"/>
  <c r="G27" i="131"/>
  <c r="G6" i="131"/>
  <c r="G46" i="131"/>
  <c r="G8" i="131"/>
  <c r="G31" i="131"/>
  <c r="G10" i="131"/>
  <c r="G13" i="131"/>
  <c r="G16" i="131"/>
  <c r="G38" i="131"/>
  <c r="G35" i="131"/>
  <c r="G14" i="131"/>
  <c r="G20" i="131"/>
  <c r="G51" i="131"/>
  <c r="G24" i="131"/>
  <c r="G23" i="131"/>
  <c r="G30" i="131"/>
  <c r="G34" i="131"/>
  <c r="G3" i="131"/>
  <c r="G22" i="131"/>
  <c r="G48" i="131"/>
  <c r="G7" i="131"/>
  <c r="W46" i="128"/>
  <c r="G11" i="131"/>
  <c r="G37" i="131"/>
  <c r="G40" i="131"/>
  <c r="G28" i="131"/>
  <c r="G29" i="131"/>
  <c r="G26" i="131"/>
  <c r="G15" i="131"/>
  <c r="G44" i="131"/>
  <c r="G49" i="131"/>
  <c r="G21" i="131"/>
  <c r="G17" i="131"/>
  <c r="G50" i="131"/>
  <c r="G19" i="131"/>
  <c r="G5" i="131"/>
  <c r="W45" i="128"/>
  <c r="W39" i="128"/>
  <c r="W53" i="128"/>
  <c r="G32" i="131"/>
  <c r="G42" i="131"/>
  <c r="W10" i="128"/>
  <c r="H62" i="120"/>
  <c r="E59" i="120"/>
  <c r="H87" i="120"/>
  <c r="BG24" i="115" s="1"/>
  <c r="D45" i="109" s="1"/>
  <c r="E87" i="120"/>
  <c r="W37" i="128"/>
  <c r="E35" i="120"/>
  <c r="H38" i="120"/>
  <c r="W48" i="128"/>
  <c r="W12" i="128"/>
  <c r="W30" i="128"/>
  <c r="W49" i="128"/>
  <c r="E67" i="120"/>
  <c r="H70" i="120"/>
  <c r="W24" i="128"/>
  <c r="W22" i="128"/>
  <c r="H31" i="120"/>
  <c r="BG10" i="115" s="1"/>
  <c r="D17" i="109" s="1"/>
  <c r="E31" i="120"/>
  <c r="W36" i="128"/>
  <c r="W21" i="128"/>
  <c r="W40" i="128"/>
  <c r="H102" i="120"/>
  <c r="E99" i="120"/>
  <c r="W23" i="128"/>
  <c r="W4" i="128"/>
  <c r="W9" i="128"/>
  <c r="W41" i="128"/>
  <c r="W3" i="128"/>
  <c r="W28" i="128"/>
  <c r="W19" i="128"/>
  <c r="W20" i="128"/>
  <c r="W27" i="128"/>
  <c r="W14" i="128"/>
  <c r="E119" i="120"/>
  <c r="H119" i="120"/>
  <c r="BG20" i="115" s="1"/>
  <c r="D61" i="109" s="1"/>
  <c r="W5" i="128"/>
  <c r="H111" i="120"/>
  <c r="BG12" i="115" s="1"/>
  <c r="D57" i="109" s="1"/>
  <c r="E111" i="120"/>
  <c r="E107" i="120"/>
  <c r="H110" i="120"/>
  <c r="W17" i="128"/>
  <c r="H7" i="120"/>
  <c r="BG34" i="115" s="1"/>
  <c r="D5" i="109" s="1"/>
  <c r="E7" i="120"/>
  <c r="E79" i="120"/>
  <c r="H79" i="120"/>
  <c r="BG16" i="115" s="1"/>
  <c r="D41" i="109" s="1"/>
  <c r="H14" i="120"/>
  <c r="E11" i="120"/>
  <c r="H30" i="120"/>
  <c r="E27" i="120"/>
  <c r="W32" i="128"/>
  <c r="W52" i="128"/>
  <c r="W51" i="128"/>
  <c r="G43" i="131"/>
  <c r="W31" i="128"/>
  <c r="H127" i="120"/>
  <c r="BG4" i="115" s="1"/>
  <c r="D65" i="109" s="1"/>
  <c r="E127" i="120"/>
  <c r="W25" i="128"/>
  <c r="E95" i="120"/>
  <c r="H95" i="120"/>
  <c r="BG8" i="115" s="1"/>
  <c r="D49" i="109" s="1"/>
  <c r="W43" i="128"/>
  <c r="W50" i="128"/>
  <c r="E115" i="120"/>
  <c r="H118" i="120"/>
  <c r="W15" i="128"/>
  <c r="E19" i="120"/>
  <c r="H22" i="120"/>
  <c r="W26" i="128"/>
  <c r="E71" i="120"/>
  <c r="H71" i="120"/>
  <c r="BG32" i="115" s="1"/>
  <c r="D37" i="109" s="1"/>
  <c r="H86" i="120"/>
  <c r="E83" i="120"/>
  <c r="W44" i="128"/>
  <c r="E15" i="120"/>
  <c r="H15" i="120"/>
  <c r="BG18" i="115" s="1"/>
  <c r="D9" i="109" s="1"/>
  <c r="W42" i="128"/>
  <c r="H78" i="120"/>
  <c r="E75" i="120"/>
  <c r="E103" i="120"/>
  <c r="H103" i="120"/>
  <c r="BG28" i="115" s="1"/>
  <c r="D53" i="109" s="1"/>
  <c r="E123" i="120"/>
  <c r="H126" i="120"/>
  <c r="W47" i="128"/>
  <c r="H55" i="120"/>
  <c r="BG22" i="115" s="1"/>
  <c r="D29" i="109" s="1"/>
  <c r="E55" i="120"/>
  <c r="W38" i="128"/>
  <c r="W33" i="128"/>
  <c r="W13" i="128"/>
  <c r="W16" i="128"/>
  <c r="E39" i="120"/>
  <c r="H39" i="120"/>
  <c r="BG30" i="115" s="1"/>
  <c r="D21" i="109" s="1"/>
  <c r="W18" i="128"/>
  <c r="H23" i="120"/>
  <c r="BG26" i="115" s="1"/>
  <c r="D13" i="109" s="1"/>
  <c r="E23" i="120"/>
  <c r="E3" i="120"/>
  <c r="G99" i="128"/>
  <c r="G24" i="128"/>
  <c r="G129" i="128"/>
  <c r="G65" i="128"/>
  <c r="G75" i="128"/>
  <c r="G8" i="128"/>
  <c r="G82" i="128"/>
  <c r="G14" i="128"/>
  <c r="G112" i="128"/>
  <c r="G28" i="128"/>
  <c r="G52" i="128"/>
  <c r="G68" i="128"/>
  <c r="G63" i="128"/>
  <c r="G57" i="128"/>
  <c r="G48" i="128"/>
  <c r="G124" i="128"/>
  <c r="G54" i="128"/>
  <c r="G88" i="128"/>
  <c r="G90" i="128"/>
  <c r="G30" i="128"/>
  <c r="G80" i="128"/>
  <c r="G87" i="128"/>
  <c r="G64" i="128"/>
  <c r="G73" i="128"/>
  <c r="G107" i="128"/>
  <c r="G105" i="128"/>
  <c r="G122" i="128"/>
  <c r="G18" i="128"/>
  <c r="G19" i="128"/>
  <c r="G11" i="128"/>
  <c r="G62" i="128"/>
  <c r="G45" i="128"/>
  <c r="H6" i="120"/>
  <c r="G49" i="128"/>
  <c r="G118" i="128"/>
  <c r="G56" i="128"/>
  <c r="G128" i="128"/>
  <c r="G22" i="128"/>
  <c r="G53" i="128"/>
  <c r="G17" i="128"/>
  <c r="G42" i="128"/>
  <c r="G92" i="128"/>
  <c r="G101" i="128"/>
  <c r="G96" i="128"/>
  <c r="G47" i="128"/>
  <c r="G60" i="128"/>
  <c r="G114" i="128"/>
  <c r="G116" i="128"/>
  <c r="G7" i="128"/>
  <c r="G61" i="128"/>
  <c r="G35" i="128"/>
  <c r="G104" i="128"/>
  <c r="G12" i="128"/>
  <c r="G71" i="128"/>
  <c r="G94" i="128"/>
  <c r="G103" i="128"/>
  <c r="G44" i="128"/>
  <c r="G127" i="128"/>
  <c r="G16" i="128"/>
  <c r="G123" i="128"/>
  <c r="G34" i="128"/>
  <c r="G69" i="128"/>
  <c r="G59" i="128"/>
  <c r="G81" i="128"/>
  <c r="G74" i="128"/>
  <c r="G27" i="128"/>
  <c r="G89" i="128"/>
  <c r="G9" i="128"/>
  <c r="G95" i="128"/>
  <c r="G31" i="128"/>
  <c r="G10" i="128"/>
  <c r="G113" i="128"/>
  <c r="G43" i="128"/>
  <c r="G26" i="128"/>
  <c r="G130" i="128"/>
  <c r="G86" i="128"/>
  <c r="G72" i="128"/>
  <c r="G108" i="128"/>
  <c r="G79" i="128"/>
  <c r="G46" i="128"/>
  <c r="G98" i="128"/>
  <c r="G36" i="128"/>
  <c r="G97" i="128"/>
  <c r="G106" i="128"/>
  <c r="G41" i="128"/>
  <c r="G37" i="128"/>
  <c r="G38" i="128"/>
  <c r="G70" i="128"/>
  <c r="G21" i="128"/>
  <c r="G121" i="128"/>
  <c r="G84" i="128"/>
  <c r="G4" i="128"/>
  <c r="G6" i="128"/>
  <c r="G15" i="128"/>
  <c r="G115" i="128"/>
  <c r="G13" i="128"/>
  <c r="G3" i="128"/>
  <c r="G5" i="128"/>
  <c r="G33" i="128"/>
  <c r="G20" i="128"/>
  <c r="G91" i="128"/>
  <c r="G23" i="128"/>
  <c r="G32" i="128"/>
  <c r="G85" i="128"/>
  <c r="G119" i="128"/>
  <c r="G55" i="128"/>
  <c r="G117" i="128"/>
  <c r="G39" i="128"/>
  <c r="G83" i="128"/>
  <c r="G125" i="128"/>
  <c r="G102" i="128"/>
  <c r="G126" i="128"/>
  <c r="G110" i="128"/>
  <c r="G40" i="128"/>
  <c r="G51" i="128"/>
  <c r="G78" i="128"/>
  <c r="G67" i="128"/>
  <c r="G100" i="128"/>
  <c r="G58" i="128"/>
  <c r="G66" i="128"/>
  <c r="G109" i="128"/>
  <c r="G77" i="128"/>
  <c r="G93" i="128"/>
  <c r="G76" i="128"/>
  <c r="G29" i="128"/>
  <c r="G50" i="128"/>
  <c r="G120" i="128"/>
  <c r="G111" i="128"/>
  <c r="G25" i="128"/>
  <c r="W35" i="128"/>
  <c r="E63" i="120"/>
  <c r="H63" i="120"/>
  <c r="BG6" i="115" s="1"/>
  <c r="D33" i="109" s="1"/>
  <c r="W29" i="128"/>
  <c r="H54" i="120"/>
  <c r="E51" i="120"/>
  <c r="E91" i="120"/>
  <c r="H94" i="120"/>
  <c r="W11" i="128"/>
  <c r="W7" i="128"/>
  <c r="E47" i="120"/>
  <c r="H47" i="120"/>
  <c r="BG14" i="115" s="1"/>
  <c r="D25" i="109" s="1"/>
  <c r="H46" i="120"/>
  <c r="E43" i="120"/>
  <c r="W6" i="128"/>
  <c r="W8" i="128"/>
  <c r="W34" i="128"/>
  <c r="AE1" i="128"/>
  <c r="G9" i="47" s="1"/>
  <c r="I45" i="120" l="1"/>
  <c r="BG23" i="115"/>
  <c r="D24" i="109" s="1"/>
  <c r="L43" i="120"/>
  <c r="BI14" i="115" s="1"/>
  <c r="BG21" i="115"/>
  <c r="D40" i="109" s="1"/>
  <c r="L75" i="120"/>
  <c r="BI16" i="115" s="1"/>
  <c r="I77" i="120"/>
  <c r="I29" i="120"/>
  <c r="BG27" i="115"/>
  <c r="D16" i="109" s="1"/>
  <c r="L27" i="120"/>
  <c r="BI10" i="115" s="1"/>
  <c r="L107" i="120"/>
  <c r="BI12" i="115" s="1"/>
  <c r="BG25" i="115"/>
  <c r="D56" i="109" s="1"/>
  <c r="I109" i="120"/>
  <c r="L42" i="120"/>
  <c r="I37" i="120"/>
  <c r="BG7" i="115"/>
  <c r="D20" i="109" s="1"/>
  <c r="I93" i="120"/>
  <c r="L91" i="120"/>
  <c r="BI8" i="115" s="1"/>
  <c r="BG29" i="115"/>
  <c r="D48" i="109" s="1"/>
  <c r="BG3" i="115"/>
  <c r="D4" i="109" s="1"/>
  <c r="I5" i="120"/>
  <c r="L10" i="120"/>
  <c r="BG17" i="115"/>
  <c r="D60" i="109" s="1"/>
  <c r="L122" i="120"/>
  <c r="I117" i="120"/>
  <c r="L58" i="120"/>
  <c r="BG15" i="115"/>
  <c r="D28" i="109" s="1"/>
  <c r="I53" i="120"/>
  <c r="L90" i="120"/>
  <c r="I85" i="120"/>
  <c r="BG13" i="115"/>
  <c r="D44" i="109" s="1"/>
  <c r="I21" i="120"/>
  <c r="BG11" i="115"/>
  <c r="D12" i="109" s="1"/>
  <c r="L26" i="120"/>
  <c r="BG19" i="115"/>
  <c r="D8" i="109" s="1"/>
  <c r="I13" i="120"/>
  <c r="L11" i="120"/>
  <c r="BI18" i="115" s="1"/>
  <c r="L106" i="120"/>
  <c r="I101" i="120"/>
  <c r="BG9" i="115"/>
  <c r="D52" i="109" s="1"/>
  <c r="BG5" i="115"/>
  <c r="D36" i="109" s="1"/>
  <c r="L74" i="120"/>
  <c r="I69" i="120"/>
  <c r="L59" i="120"/>
  <c r="BI6" i="115" s="1"/>
  <c r="BG31" i="115"/>
  <c r="D32" i="109" s="1"/>
  <c r="I61" i="120"/>
  <c r="L123" i="120"/>
  <c r="BI4" i="115" s="1"/>
  <c r="BG33" i="115"/>
  <c r="D64" i="109" s="1"/>
  <c r="I125" i="120"/>
  <c r="E31" i="109" l="1"/>
  <c r="H31" i="109"/>
  <c r="AT6" i="115" s="1"/>
  <c r="D17" i="110" s="1"/>
  <c r="H38" i="109"/>
  <c r="E35" i="109"/>
  <c r="H14" i="109"/>
  <c r="E11" i="109"/>
  <c r="M89" i="120"/>
  <c r="BI13" i="115"/>
  <c r="P83" i="120"/>
  <c r="BK8" i="115" s="1"/>
  <c r="H15" i="109"/>
  <c r="AT10" i="115" s="1"/>
  <c r="D9" i="110" s="1"/>
  <c r="E15" i="109"/>
  <c r="H39" i="109"/>
  <c r="AT16" i="115" s="1"/>
  <c r="D21" i="110" s="1"/>
  <c r="E39" i="109"/>
  <c r="H63" i="109"/>
  <c r="AT4" i="115" s="1"/>
  <c r="D33" i="110" s="1"/>
  <c r="E63" i="109"/>
  <c r="H54" i="109"/>
  <c r="E51" i="109"/>
  <c r="BI17" i="115"/>
  <c r="M121" i="120"/>
  <c r="P115" i="120"/>
  <c r="BK4" i="115" s="1"/>
  <c r="H96" i="128"/>
  <c r="H60" i="128"/>
  <c r="H42" i="128"/>
  <c r="H116" i="128"/>
  <c r="H89" i="128"/>
  <c r="H21" i="128"/>
  <c r="H95" i="128"/>
  <c r="H52" i="128"/>
  <c r="H121" i="128"/>
  <c r="H92" i="128"/>
  <c r="H16" i="128"/>
  <c r="H110" i="128"/>
  <c r="H41" i="128"/>
  <c r="H113" i="128"/>
  <c r="H37" i="128"/>
  <c r="H40" i="128"/>
  <c r="H62" i="128"/>
  <c r="H49" i="128"/>
  <c r="H27" i="128"/>
  <c r="H93" i="128"/>
  <c r="H5" i="128"/>
  <c r="H82" i="128"/>
  <c r="H14" i="128"/>
  <c r="H107" i="128"/>
  <c r="H111" i="128"/>
  <c r="H68" i="128"/>
  <c r="H29" i="128"/>
  <c r="H13" i="128"/>
  <c r="H34" i="128"/>
  <c r="H30" i="128"/>
  <c r="H20" i="128"/>
  <c r="H51" i="128"/>
  <c r="H76" i="128"/>
  <c r="H106" i="128"/>
  <c r="H19" i="128"/>
  <c r="H99" i="128"/>
  <c r="H61" i="128"/>
  <c r="H98" i="128"/>
  <c r="H10" i="128"/>
  <c r="H125" i="128"/>
  <c r="H6" i="128"/>
  <c r="H8" i="128"/>
  <c r="H115" i="128"/>
  <c r="H122" i="128"/>
  <c r="H50" i="128"/>
  <c r="H11" i="128"/>
  <c r="H114" i="128"/>
  <c r="H35" i="128"/>
  <c r="H103" i="128"/>
  <c r="H88" i="128"/>
  <c r="H6" i="109"/>
  <c r="H24" i="128"/>
  <c r="H118" i="128"/>
  <c r="H23" i="128"/>
  <c r="H7" i="128"/>
  <c r="H73" i="128"/>
  <c r="H112" i="128"/>
  <c r="H126" i="128"/>
  <c r="H105" i="128"/>
  <c r="H44" i="128"/>
  <c r="H117" i="128"/>
  <c r="H124" i="128"/>
  <c r="H58" i="128"/>
  <c r="H69" i="128"/>
  <c r="H59" i="128"/>
  <c r="H3" i="128"/>
  <c r="H26" i="128"/>
  <c r="H38" i="128"/>
  <c r="H47" i="128"/>
  <c r="H65" i="128"/>
  <c r="H102" i="128"/>
  <c r="H32" i="128"/>
  <c r="H46" i="128"/>
  <c r="H85" i="128"/>
  <c r="H28" i="128"/>
  <c r="H94" i="128"/>
  <c r="H55" i="128"/>
  <c r="H127" i="128"/>
  <c r="H33" i="128"/>
  <c r="H83" i="128"/>
  <c r="H101" i="128"/>
  <c r="H80" i="128"/>
  <c r="H74" i="128"/>
  <c r="H120" i="128"/>
  <c r="H87" i="128"/>
  <c r="H70" i="128"/>
  <c r="H78" i="128"/>
  <c r="H9" i="128"/>
  <c r="H109" i="128"/>
  <c r="H31" i="128"/>
  <c r="H53" i="128"/>
  <c r="H54" i="128"/>
  <c r="H77" i="128"/>
  <c r="H4" i="128"/>
  <c r="H91" i="128"/>
  <c r="H56" i="128"/>
  <c r="H15" i="128"/>
  <c r="H71" i="128"/>
  <c r="H100" i="128"/>
  <c r="H39" i="128"/>
  <c r="H81" i="128"/>
  <c r="E3" i="109"/>
  <c r="H72" i="128"/>
  <c r="H129" i="128"/>
  <c r="H64" i="128"/>
  <c r="H67" i="128"/>
  <c r="H63" i="128"/>
  <c r="H18" i="128"/>
  <c r="H84" i="128"/>
  <c r="H130" i="128"/>
  <c r="H75" i="128"/>
  <c r="H104" i="128"/>
  <c r="H57" i="128"/>
  <c r="H25" i="128"/>
  <c r="H79" i="128"/>
  <c r="H119" i="128"/>
  <c r="H97" i="128"/>
  <c r="H123" i="128"/>
  <c r="H17" i="128"/>
  <c r="H43" i="128"/>
  <c r="H86" i="128"/>
  <c r="H108" i="128"/>
  <c r="H128" i="128"/>
  <c r="H12" i="128"/>
  <c r="H36" i="128"/>
  <c r="H48" i="128"/>
  <c r="H90" i="128"/>
  <c r="H45" i="128"/>
  <c r="H22" i="128"/>
  <c r="H66" i="128"/>
  <c r="E19" i="109"/>
  <c r="H22" i="109"/>
  <c r="H55" i="109"/>
  <c r="AT12" i="115" s="1"/>
  <c r="D29" i="110" s="1"/>
  <c r="E55" i="109"/>
  <c r="E7" i="109"/>
  <c r="H7" i="109"/>
  <c r="AT18" i="115" s="1"/>
  <c r="D5" i="110" s="1"/>
  <c r="H46" i="109"/>
  <c r="E43" i="109"/>
  <c r="H30" i="109"/>
  <c r="E27" i="109"/>
  <c r="E59" i="109"/>
  <c r="H62" i="109"/>
  <c r="E47" i="109"/>
  <c r="H47" i="109"/>
  <c r="AT8" i="115" s="1"/>
  <c r="D25" i="110" s="1"/>
  <c r="H23" i="109"/>
  <c r="AT14" i="115" s="1"/>
  <c r="D13" i="110" s="1"/>
  <c r="E23" i="109"/>
  <c r="P82" i="120"/>
  <c r="M73" i="120"/>
  <c r="BI5" i="115"/>
  <c r="M105" i="120"/>
  <c r="BI9" i="115"/>
  <c r="P114" i="120"/>
  <c r="M25" i="120"/>
  <c r="BI11" i="115"/>
  <c r="P19" i="120"/>
  <c r="BK10" i="115" s="1"/>
  <c r="M57" i="120"/>
  <c r="P51" i="120"/>
  <c r="BK6" i="115" s="1"/>
  <c r="BI15" i="115"/>
  <c r="BI3" i="115"/>
  <c r="M9" i="120"/>
  <c r="P18" i="120"/>
  <c r="BI7" i="115"/>
  <c r="M41" i="120"/>
  <c r="P50" i="120"/>
  <c r="T35" i="120" l="1"/>
  <c r="BM6" i="115" s="1"/>
  <c r="Q49" i="120"/>
  <c r="BK7" i="115"/>
  <c r="Q113" i="120"/>
  <c r="BK9" i="115"/>
  <c r="T99" i="120"/>
  <c r="BM4" i="115" s="1"/>
  <c r="I21" i="109"/>
  <c r="L26" i="109"/>
  <c r="AT7" i="115"/>
  <c r="D12" i="110" s="1"/>
  <c r="L58" i="109"/>
  <c r="AT9" i="115"/>
  <c r="D28" i="110" s="1"/>
  <c r="I53" i="109"/>
  <c r="BK5" i="115"/>
  <c r="Q81" i="120"/>
  <c r="T98" i="120"/>
  <c r="L27" i="109"/>
  <c r="AV6" i="115" s="1"/>
  <c r="I29" i="109"/>
  <c r="AT15" i="115"/>
  <c r="D16" i="110" s="1"/>
  <c r="I5" i="109"/>
  <c r="AT3" i="115"/>
  <c r="D4" i="110" s="1"/>
  <c r="L10" i="109"/>
  <c r="I37" i="109"/>
  <c r="AT5" i="115"/>
  <c r="D20" i="110" s="1"/>
  <c r="L42" i="109"/>
  <c r="I61" i="109"/>
  <c r="AT17" i="115"/>
  <c r="D32" i="110" s="1"/>
  <c r="L59" i="109"/>
  <c r="AV4" i="115" s="1"/>
  <c r="T34" i="120"/>
  <c r="Q17" i="120"/>
  <c r="BK3" i="115"/>
  <c r="AT13" i="115"/>
  <c r="D24" i="110" s="1"/>
  <c r="I45" i="109"/>
  <c r="L43" i="109"/>
  <c r="AV8" i="115" s="1"/>
  <c r="AT11" i="115"/>
  <c r="D8" i="110" s="1"/>
  <c r="L11" i="109"/>
  <c r="AV10" i="115" s="1"/>
  <c r="I13" i="109"/>
  <c r="X66" i="120" l="1"/>
  <c r="BM3" i="115"/>
  <c r="U33" i="120"/>
  <c r="X106" i="120"/>
  <c r="M41" i="109"/>
  <c r="AV5" i="115"/>
  <c r="P50" i="109"/>
  <c r="H6" i="110"/>
  <c r="I49" i="128"/>
  <c r="I60" i="128"/>
  <c r="I64" i="128"/>
  <c r="I79" i="128"/>
  <c r="I5" i="128"/>
  <c r="I46" i="128"/>
  <c r="I21" i="128"/>
  <c r="I98" i="128"/>
  <c r="I111" i="128"/>
  <c r="I68" i="128"/>
  <c r="I57" i="128"/>
  <c r="I13" i="128"/>
  <c r="I18" i="128"/>
  <c r="I69" i="128"/>
  <c r="I59" i="128"/>
  <c r="I25" i="128"/>
  <c r="I130" i="128"/>
  <c r="I6" i="128"/>
  <c r="I70" i="128"/>
  <c r="I78" i="128"/>
  <c r="I32" i="128"/>
  <c r="I67" i="128"/>
  <c r="I28" i="128"/>
  <c r="I115" i="128"/>
  <c r="I63" i="128"/>
  <c r="I122" i="128"/>
  <c r="I124" i="128"/>
  <c r="I41" i="128"/>
  <c r="I77" i="128"/>
  <c r="I26" i="128"/>
  <c r="I45" i="128"/>
  <c r="I125" i="128"/>
  <c r="I93" i="128"/>
  <c r="I109" i="128"/>
  <c r="I94" i="128"/>
  <c r="I117" i="128"/>
  <c r="I34" i="128"/>
  <c r="I30" i="128"/>
  <c r="I96" i="128"/>
  <c r="I129" i="128"/>
  <c r="I128" i="128"/>
  <c r="I22" i="128"/>
  <c r="I97" i="128"/>
  <c r="I58" i="128"/>
  <c r="I3" i="128"/>
  <c r="I74" i="128"/>
  <c r="E3" i="110"/>
  <c r="I47" i="128"/>
  <c r="I27" i="128"/>
  <c r="I108" i="128"/>
  <c r="I89" i="128"/>
  <c r="I8" i="128"/>
  <c r="I15" i="128"/>
  <c r="I85" i="128"/>
  <c r="I95" i="128"/>
  <c r="I52" i="128"/>
  <c r="I103" i="128"/>
  <c r="I127" i="128"/>
  <c r="I10" i="128"/>
  <c r="I39" i="128"/>
  <c r="I83" i="128"/>
  <c r="I19" i="128"/>
  <c r="I11" i="128"/>
  <c r="I120" i="128"/>
  <c r="I24" i="128"/>
  <c r="I42" i="128"/>
  <c r="I116" i="128"/>
  <c r="I73" i="128"/>
  <c r="I112" i="128"/>
  <c r="I119" i="128"/>
  <c r="I31" i="128"/>
  <c r="I44" i="128"/>
  <c r="I53" i="128"/>
  <c r="I110" i="128"/>
  <c r="I50" i="128"/>
  <c r="I37" i="128"/>
  <c r="I4" i="128"/>
  <c r="I66" i="128"/>
  <c r="I51" i="128"/>
  <c r="D4" i="56"/>
  <c r="I91" i="128"/>
  <c r="I114" i="128"/>
  <c r="I102" i="128"/>
  <c r="I82" i="128"/>
  <c r="I104" i="128"/>
  <c r="I71" i="128"/>
  <c r="I100" i="128"/>
  <c r="I123" i="128"/>
  <c r="I84" i="128"/>
  <c r="I101" i="128"/>
  <c r="I72" i="128"/>
  <c r="I7" i="128"/>
  <c r="I12" i="128"/>
  <c r="I121" i="128"/>
  <c r="I48" i="128"/>
  <c r="I17" i="128"/>
  <c r="I62" i="128"/>
  <c r="I80" i="128"/>
  <c r="I86" i="128"/>
  <c r="I65" i="128"/>
  <c r="I56" i="128"/>
  <c r="I9" i="128"/>
  <c r="I126" i="128"/>
  <c r="I92" i="128"/>
  <c r="I33" i="128"/>
  <c r="I90" i="128"/>
  <c r="I20" i="128"/>
  <c r="I118" i="128"/>
  <c r="I61" i="128"/>
  <c r="I76" i="128"/>
  <c r="I55" i="128"/>
  <c r="I16" i="128"/>
  <c r="I113" i="128"/>
  <c r="I81" i="128"/>
  <c r="I87" i="128"/>
  <c r="I75" i="128"/>
  <c r="I35" i="128"/>
  <c r="I107" i="128"/>
  <c r="I105" i="128"/>
  <c r="I106" i="128"/>
  <c r="I88" i="128"/>
  <c r="I40" i="128"/>
  <c r="I99" i="128"/>
  <c r="I23" i="128"/>
  <c r="I14" i="128"/>
  <c r="I36" i="128"/>
  <c r="I29" i="128"/>
  <c r="I54" i="128"/>
  <c r="I43" i="128"/>
  <c r="I38" i="128"/>
  <c r="P19" i="109"/>
  <c r="AX6" i="115" s="1"/>
  <c r="AV7" i="115"/>
  <c r="M25" i="109"/>
  <c r="D13" i="56"/>
  <c r="E23" i="110"/>
  <c r="H23" i="110"/>
  <c r="AI8" i="115" s="1"/>
  <c r="D13" i="119" s="1"/>
  <c r="H22" i="110"/>
  <c r="E19" i="110"/>
  <c r="D12" i="56"/>
  <c r="X107" i="120"/>
  <c r="BO5" i="115" s="1"/>
  <c r="X67" i="120"/>
  <c r="BO4" i="115" s="1"/>
  <c r="U97" i="120"/>
  <c r="BM5" i="115"/>
  <c r="H30" i="110"/>
  <c r="D16" i="56"/>
  <c r="E27" i="110"/>
  <c r="D5" i="56"/>
  <c r="E7" i="110"/>
  <c r="H7" i="110"/>
  <c r="AI10" i="115" s="1"/>
  <c r="D5" i="119" s="1"/>
  <c r="E31" i="110"/>
  <c r="D17" i="56"/>
  <c r="H31" i="110"/>
  <c r="AI4" i="115" s="1"/>
  <c r="D17" i="119" s="1"/>
  <c r="E15" i="110"/>
  <c r="D9" i="56"/>
  <c r="H15" i="110"/>
  <c r="AI6" i="115" s="1"/>
  <c r="D9" i="119" s="1"/>
  <c r="M57" i="109"/>
  <c r="P51" i="109"/>
  <c r="AX4" i="115" s="1"/>
  <c r="AV9" i="115"/>
  <c r="M9" i="109"/>
  <c r="AV3" i="115"/>
  <c r="P18" i="109"/>
  <c r="H14" i="110"/>
  <c r="E11" i="110"/>
  <c r="D8" i="56"/>
  <c r="H23" i="56" l="1"/>
  <c r="H7" i="56"/>
  <c r="E7" i="56"/>
  <c r="L27" i="110"/>
  <c r="AK4" i="115" s="1"/>
  <c r="I29" i="110"/>
  <c r="AI9" i="115"/>
  <c r="D16" i="119" s="1"/>
  <c r="E3" i="56"/>
  <c r="H6" i="56"/>
  <c r="H22" i="56"/>
  <c r="AI3" i="115"/>
  <c r="D4" i="119" s="1"/>
  <c r="I5" i="110"/>
  <c r="L10" i="110"/>
  <c r="BO6" i="115"/>
  <c r="Y105" i="120"/>
  <c r="H14" i="56"/>
  <c r="E11" i="56"/>
  <c r="H30" i="56"/>
  <c r="AX5" i="115"/>
  <c r="Q49" i="109"/>
  <c r="T57" i="109"/>
  <c r="AZ5" i="115" s="1"/>
  <c r="T35" i="109"/>
  <c r="AZ4" i="115" s="1"/>
  <c r="I13" i="110"/>
  <c r="L11" i="110"/>
  <c r="AK6" i="115" s="1"/>
  <c r="AI7" i="115"/>
  <c r="D8" i="119" s="1"/>
  <c r="AX3" i="115"/>
  <c r="T34" i="109"/>
  <c r="T56" i="109"/>
  <c r="Q17" i="109"/>
  <c r="H31" i="56"/>
  <c r="H15" i="56"/>
  <c r="E15" i="56"/>
  <c r="L26" i="110"/>
  <c r="AI5" i="115"/>
  <c r="D12" i="119" s="1"/>
  <c r="I21" i="110"/>
  <c r="Y65" i="120"/>
  <c r="BO3" i="115"/>
  <c r="A209" i="61"/>
  <c r="P19" i="110" l="1"/>
  <c r="P33" i="110"/>
  <c r="AK5" i="115"/>
  <c r="M25" i="110"/>
  <c r="E7" i="119"/>
  <c r="D5" i="55"/>
  <c r="H7" i="119"/>
  <c r="W6" i="115" s="1"/>
  <c r="D5" i="118" s="1"/>
  <c r="M9" i="110"/>
  <c r="AK3" i="115"/>
  <c r="P18" i="110"/>
  <c r="T18" i="110" s="1"/>
  <c r="AO3" i="115" s="1"/>
  <c r="P32" i="110"/>
  <c r="L18" i="56"/>
  <c r="P19" i="56" s="1"/>
  <c r="AE14" i="115" s="1"/>
  <c r="I14" i="115" s="1"/>
  <c r="B13" i="116" s="1"/>
  <c r="F13" i="116" s="1"/>
  <c r="C13" i="116" s="1"/>
  <c r="I5" i="56"/>
  <c r="L10" i="56"/>
  <c r="P11" i="56" s="1"/>
  <c r="AE12" i="115" s="1"/>
  <c r="I12" i="115" s="1"/>
  <c r="B11" i="116" s="1"/>
  <c r="F11" i="116" s="1"/>
  <c r="C11" i="116" s="1"/>
  <c r="AZ6" i="115"/>
  <c r="U55" i="109"/>
  <c r="I13" i="56"/>
  <c r="L11" i="56"/>
  <c r="P10" i="56" s="1"/>
  <c r="AE11" i="115" s="1"/>
  <c r="I11" i="115" s="1"/>
  <c r="B10" i="116" s="1"/>
  <c r="F10" i="116" s="1"/>
  <c r="C10" i="116" s="1"/>
  <c r="L19" i="56"/>
  <c r="P18" i="56" s="1"/>
  <c r="AE13" i="115" s="1"/>
  <c r="I13" i="115" s="1"/>
  <c r="B12" i="116" s="1"/>
  <c r="U33" i="109"/>
  <c r="AZ3" i="115"/>
  <c r="E3" i="119"/>
  <c r="J49" i="128"/>
  <c r="J24" i="128"/>
  <c r="J42" i="128"/>
  <c r="J116" i="128"/>
  <c r="J102" i="128"/>
  <c r="J32" i="128"/>
  <c r="J14" i="128"/>
  <c r="J98" i="128"/>
  <c r="J119" i="128"/>
  <c r="J115" i="128"/>
  <c r="J103" i="128"/>
  <c r="J122" i="128"/>
  <c r="J16" i="128"/>
  <c r="J110" i="128"/>
  <c r="J54" i="128"/>
  <c r="J83" i="128"/>
  <c r="J77" i="128"/>
  <c r="J4" i="128"/>
  <c r="J91" i="128"/>
  <c r="J129" i="128"/>
  <c r="J93" i="128"/>
  <c r="J46" i="128"/>
  <c r="J21" i="128"/>
  <c r="J95" i="128"/>
  <c r="J105" i="128"/>
  <c r="J92" i="128"/>
  <c r="J123" i="128"/>
  <c r="J84" i="128"/>
  <c r="J40" i="128"/>
  <c r="J125" i="128"/>
  <c r="J38" i="128"/>
  <c r="J130" i="128"/>
  <c r="J25" i="128"/>
  <c r="J74" i="128"/>
  <c r="J64" i="128"/>
  <c r="J67" i="128"/>
  <c r="J117" i="128"/>
  <c r="J11" i="128"/>
  <c r="J65" i="128"/>
  <c r="J107" i="128"/>
  <c r="J48" i="128"/>
  <c r="J90" i="128"/>
  <c r="J108" i="128"/>
  <c r="J94" i="128"/>
  <c r="J69" i="128"/>
  <c r="J20" i="128"/>
  <c r="H6" i="119"/>
  <c r="J99" i="128"/>
  <c r="J87" i="128"/>
  <c r="J114" i="128"/>
  <c r="J75" i="128"/>
  <c r="J56" i="128"/>
  <c r="J73" i="128"/>
  <c r="J112" i="128"/>
  <c r="J76" i="128"/>
  <c r="J111" i="128"/>
  <c r="J68" i="128"/>
  <c r="J55" i="128"/>
  <c r="J127" i="128"/>
  <c r="J13" i="128"/>
  <c r="J33" i="128"/>
  <c r="J34" i="128"/>
  <c r="J17" i="128"/>
  <c r="J3" i="128"/>
  <c r="J101" i="128"/>
  <c r="J60" i="128"/>
  <c r="J78" i="128"/>
  <c r="J79" i="128"/>
  <c r="J15" i="128"/>
  <c r="J85" i="128"/>
  <c r="J71" i="128"/>
  <c r="J100" i="128"/>
  <c r="J57" i="128"/>
  <c r="J18" i="128"/>
  <c r="J59" i="128"/>
  <c r="J51" i="128"/>
  <c r="J62" i="128"/>
  <c r="J8" i="128"/>
  <c r="J63" i="128"/>
  <c r="J37" i="128"/>
  <c r="J81" i="128"/>
  <c r="J6" i="128"/>
  <c r="J61" i="128"/>
  <c r="J126" i="128"/>
  <c r="J29" i="128"/>
  <c r="J88" i="128"/>
  <c r="J96" i="128"/>
  <c r="J9" i="128"/>
  <c r="J106" i="128"/>
  <c r="J80" i="128"/>
  <c r="J120" i="128"/>
  <c r="J47" i="128"/>
  <c r="J27" i="128"/>
  <c r="J23" i="128"/>
  <c r="J7" i="128"/>
  <c r="J5" i="128"/>
  <c r="J128" i="128"/>
  <c r="J12" i="128"/>
  <c r="J28" i="128"/>
  <c r="J22" i="128"/>
  <c r="J31" i="128"/>
  <c r="J44" i="128"/>
  <c r="J53" i="128"/>
  <c r="J124" i="128"/>
  <c r="J39" i="128"/>
  <c r="J41" i="128"/>
  <c r="J113" i="128"/>
  <c r="J30" i="128"/>
  <c r="J45" i="128"/>
  <c r="J72" i="128"/>
  <c r="J104" i="128"/>
  <c r="J52" i="128"/>
  <c r="J50" i="128"/>
  <c r="J66" i="128"/>
  <c r="D4" i="55"/>
  <c r="J86" i="128"/>
  <c r="J89" i="128"/>
  <c r="J35" i="128"/>
  <c r="J121" i="128"/>
  <c r="J10" i="128"/>
  <c r="J43" i="128"/>
  <c r="J82" i="128"/>
  <c r="J97" i="128"/>
  <c r="J26" i="128"/>
  <c r="J70" i="128"/>
  <c r="J36" i="128"/>
  <c r="J58" i="128"/>
  <c r="J118" i="128"/>
  <c r="J109" i="128"/>
  <c r="J19" i="128"/>
  <c r="H15" i="119"/>
  <c r="W4" i="115" s="1"/>
  <c r="D9" i="118" s="1"/>
  <c r="D9" i="55"/>
  <c r="E15" i="119"/>
  <c r="H14" i="119"/>
  <c r="E11" i="119"/>
  <c r="D8" i="55"/>
  <c r="I29" i="56"/>
  <c r="L35" i="56"/>
  <c r="P34" i="56" s="1"/>
  <c r="AE17" i="115" s="1"/>
  <c r="I17" i="115" s="1"/>
  <c r="B16" i="116" s="1"/>
  <c r="F16" i="116" s="1"/>
  <c r="C16" i="116" s="1"/>
  <c r="L27" i="56"/>
  <c r="P26" i="56" s="1"/>
  <c r="AE15" i="115" s="1"/>
  <c r="I15" i="115" s="1"/>
  <c r="B14" i="116" s="1"/>
  <c r="F14" i="116" s="1"/>
  <c r="C14" i="116" s="1"/>
  <c r="I21" i="56"/>
  <c r="L26" i="56"/>
  <c r="P27" i="56" s="1"/>
  <c r="AE16" i="115" s="1"/>
  <c r="I16" i="115" s="1"/>
  <c r="B15" i="116" s="1"/>
  <c r="F15" i="116" s="1"/>
  <c r="C15" i="116" s="1"/>
  <c r="L34" i="56"/>
  <c r="H209" i="61"/>
  <c r="G209" i="61"/>
  <c r="I209" i="61"/>
  <c r="T32" i="110" l="1"/>
  <c r="AQ5" i="115" s="1"/>
  <c r="AM5" i="115"/>
  <c r="T33" i="110"/>
  <c r="AQ6" i="115" s="1"/>
  <c r="AM4" i="115"/>
  <c r="T19" i="110"/>
  <c r="AO4" i="115" s="1"/>
  <c r="M33" i="56"/>
  <c r="P35" i="56"/>
  <c r="AE18" i="115" s="1"/>
  <c r="I18" i="115" s="1"/>
  <c r="B17" i="116" s="1"/>
  <c r="F17" i="116" s="1"/>
  <c r="C17" i="116" s="1"/>
  <c r="F12" i="116"/>
  <c r="C12" i="116" s="1"/>
  <c r="I13" i="119"/>
  <c r="W5" i="115"/>
  <c r="D8" i="118" s="1"/>
  <c r="L11" i="119"/>
  <c r="L21" i="119"/>
  <c r="M17" i="56"/>
  <c r="M25" i="56"/>
  <c r="AM6" i="115"/>
  <c r="Q31" i="110"/>
  <c r="H7" i="55"/>
  <c r="L7" i="55" s="1"/>
  <c r="S8" i="115" s="1"/>
  <c r="I8" i="115" s="1"/>
  <c r="B7" i="116" s="1"/>
  <c r="F7" i="116" s="1"/>
  <c r="C7" i="116" s="1"/>
  <c r="E7" i="55"/>
  <c r="H13" i="55"/>
  <c r="L12" i="55" s="1"/>
  <c r="S9" i="115" s="1"/>
  <c r="I9" i="115" s="1"/>
  <c r="B8" i="116" s="1"/>
  <c r="F8" i="116" s="1"/>
  <c r="C8" i="116" s="1"/>
  <c r="M9" i="56"/>
  <c r="Q17" i="110"/>
  <c r="AM3" i="115"/>
  <c r="H6" i="55"/>
  <c r="L6" i="55" s="1"/>
  <c r="S7" i="115" s="1"/>
  <c r="I7" i="115" s="1"/>
  <c r="B6" i="116" s="1"/>
  <c r="F6" i="116" s="1"/>
  <c r="C6" i="116" s="1"/>
  <c r="E3" i="55"/>
  <c r="H12" i="55"/>
  <c r="L13" i="55" s="1"/>
  <c r="S10" i="115" s="1"/>
  <c r="I10" i="115" s="1"/>
  <c r="B9" i="116" s="1"/>
  <c r="F9" i="116" s="1"/>
  <c r="C9" i="116" s="1"/>
  <c r="W3" i="115"/>
  <c r="D4" i="118" s="1"/>
  <c r="I5" i="119"/>
  <c r="L10" i="119"/>
  <c r="P10" i="119" s="1"/>
  <c r="AA3" i="115" s="1"/>
  <c r="L20" i="119"/>
  <c r="P20" i="119" l="1"/>
  <c r="AA5" i="115" s="1"/>
  <c r="Y5" i="115"/>
  <c r="P21" i="119"/>
  <c r="Y4" i="115"/>
  <c r="P11" i="119"/>
  <c r="AA4" i="115" s="1"/>
  <c r="I11" i="55"/>
  <c r="I5" i="55"/>
  <c r="Y6" i="115"/>
  <c r="M19" i="119"/>
  <c r="Y3" i="115"/>
  <c r="M9" i="119"/>
  <c r="H16" i="118"/>
  <c r="K96" i="128"/>
  <c r="K72" i="128"/>
  <c r="K129" i="128"/>
  <c r="K93" i="128"/>
  <c r="K32" i="128"/>
  <c r="K46" i="128"/>
  <c r="K9" i="128"/>
  <c r="K12" i="128"/>
  <c r="K28" i="128"/>
  <c r="K94" i="128"/>
  <c r="K121" i="128"/>
  <c r="K97" i="128"/>
  <c r="K57" i="128"/>
  <c r="K33" i="128"/>
  <c r="K84" i="128"/>
  <c r="K43" i="128"/>
  <c r="K80" i="128"/>
  <c r="K6" i="128"/>
  <c r="K114" i="128"/>
  <c r="K75" i="128"/>
  <c r="K56" i="128"/>
  <c r="K98" i="128"/>
  <c r="K52" i="128"/>
  <c r="K44" i="128"/>
  <c r="K16" i="128"/>
  <c r="K123" i="128"/>
  <c r="K34" i="128"/>
  <c r="K83" i="128"/>
  <c r="K3" i="128"/>
  <c r="K130" i="128"/>
  <c r="K8" i="128"/>
  <c r="K39" i="128"/>
  <c r="K30" i="128"/>
  <c r="K66" i="128"/>
  <c r="E3" i="118"/>
  <c r="K99" i="128"/>
  <c r="K118" i="128"/>
  <c r="K78" i="128"/>
  <c r="K102" i="128"/>
  <c r="K73" i="128"/>
  <c r="K15" i="128"/>
  <c r="K21" i="128"/>
  <c r="K109" i="128"/>
  <c r="K71" i="128"/>
  <c r="K36" i="128"/>
  <c r="K55" i="128"/>
  <c r="K29" i="128"/>
  <c r="K48" i="128"/>
  <c r="K18" i="128"/>
  <c r="K77" i="128"/>
  <c r="K25" i="128"/>
  <c r="K86" i="128"/>
  <c r="K24" i="128"/>
  <c r="K7" i="128"/>
  <c r="K115" i="128"/>
  <c r="K106" i="128"/>
  <c r="K17" i="128"/>
  <c r="K74" i="128"/>
  <c r="H6" i="118"/>
  <c r="L6" i="118" s="1"/>
  <c r="N3" i="115" s="1"/>
  <c r="I3" i="115" s="1"/>
  <c r="B2" i="116" s="1"/>
  <c r="F2" i="116" s="1"/>
  <c r="C2" i="116" s="1"/>
  <c r="K91" i="128"/>
  <c r="K70" i="128"/>
  <c r="K64" i="128"/>
  <c r="K5" i="128"/>
  <c r="K128" i="128"/>
  <c r="K14" i="128"/>
  <c r="K85" i="128"/>
  <c r="K107" i="128"/>
  <c r="K111" i="128"/>
  <c r="K105" i="128"/>
  <c r="K100" i="128"/>
  <c r="K92" i="128"/>
  <c r="K10" i="128"/>
  <c r="K50" i="128"/>
  <c r="K37" i="128"/>
  <c r="K26" i="128"/>
  <c r="K49" i="128"/>
  <c r="K87" i="128"/>
  <c r="K65" i="128"/>
  <c r="K79" i="128"/>
  <c r="K35" i="128"/>
  <c r="K126" i="128"/>
  <c r="K68" i="128"/>
  <c r="K117" i="128"/>
  <c r="K13" i="128"/>
  <c r="K58" i="128"/>
  <c r="K88" i="128"/>
  <c r="K90" i="128"/>
  <c r="K40" i="128"/>
  <c r="K20" i="128"/>
  <c r="K62" i="128"/>
  <c r="K38" i="128"/>
  <c r="K120" i="128"/>
  <c r="K27" i="128"/>
  <c r="K42" i="128"/>
  <c r="K108" i="128"/>
  <c r="K61" i="128"/>
  <c r="K82" i="128"/>
  <c r="K104" i="128"/>
  <c r="K67" i="128"/>
  <c r="K95" i="128"/>
  <c r="K22" i="128"/>
  <c r="K31" i="128"/>
  <c r="K63" i="128"/>
  <c r="K122" i="128"/>
  <c r="K110" i="128"/>
  <c r="K113" i="128"/>
  <c r="K19" i="128"/>
  <c r="K51" i="128"/>
  <c r="K47" i="128"/>
  <c r="K60" i="128"/>
  <c r="K116" i="128"/>
  <c r="K89" i="128"/>
  <c r="K112" i="128"/>
  <c r="K119" i="128"/>
  <c r="K103" i="128"/>
  <c r="K53" i="128"/>
  <c r="K124" i="128"/>
  <c r="K54" i="128"/>
  <c r="E54" i="128" s="1"/>
  <c r="AH107" i="47" s="1"/>
  <c r="K69" i="128"/>
  <c r="K59" i="128"/>
  <c r="K11" i="128"/>
  <c r="K45" i="128"/>
  <c r="K81" i="128"/>
  <c r="K4" i="128"/>
  <c r="K125" i="128"/>
  <c r="K23" i="128"/>
  <c r="K76" i="128"/>
  <c r="K127" i="128"/>
  <c r="K41" i="128"/>
  <c r="K101" i="128"/>
  <c r="H7" i="118"/>
  <c r="H17" i="118"/>
  <c r="E7" i="118"/>
  <c r="L17" i="118" l="1"/>
  <c r="P6" i="115" s="1"/>
  <c r="I6" i="115" s="1"/>
  <c r="B5" i="116" s="1"/>
  <c r="F5" i="116" s="1"/>
  <c r="C5" i="116" s="1"/>
  <c r="AC5" i="115"/>
  <c r="L16" i="118"/>
  <c r="P5" i="115" s="1"/>
  <c r="I5" i="115" s="1"/>
  <c r="B4" i="116" s="1"/>
  <c r="F4" i="116" s="1"/>
  <c r="C4" i="116" s="1"/>
  <c r="AA6" i="115"/>
  <c r="AC6" i="115"/>
  <c r="L4" i="115"/>
  <c r="L7" i="118"/>
  <c r="N4" i="115" s="1"/>
  <c r="I4" i="115" s="1"/>
  <c r="B3" i="116" s="1"/>
  <c r="F3" i="116" s="1"/>
  <c r="C3" i="116" s="1"/>
  <c r="F9" i="128"/>
  <c r="E9" i="128" s="1"/>
  <c r="AH17" i="47" s="1"/>
  <c r="L3" i="115"/>
  <c r="I5" i="118"/>
  <c r="A389" i="61"/>
  <c r="AK107" i="47"/>
  <c r="AI107" i="47"/>
  <c r="AJ107" i="47"/>
  <c r="I15" i="118"/>
  <c r="F40" i="128" l="1"/>
  <c r="E40" i="128" s="1"/>
  <c r="AI48" i="47" s="1"/>
  <c r="F76" i="128"/>
  <c r="F89" i="128"/>
  <c r="F48" i="128"/>
  <c r="E48" i="128" s="1"/>
  <c r="AJ56" i="47" s="1"/>
  <c r="F74" i="128"/>
  <c r="F24" i="128"/>
  <c r="E24" i="128" s="1"/>
  <c r="AH32" i="47" s="1"/>
  <c r="AJ32" i="47" s="1"/>
  <c r="F72" i="128"/>
  <c r="F69" i="128"/>
  <c r="F81" i="128"/>
  <c r="F107" i="128"/>
  <c r="F52" i="128"/>
  <c r="E52" i="128" s="1"/>
  <c r="AH60" i="47" s="1"/>
  <c r="AI60" i="47" s="1"/>
  <c r="F121" i="128"/>
  <c r="F94" i="128"/>
  <c r="F124" i="128"/>
  <c r="F119" i="128"/>
  <c r="F27" i="128"/>
  <c r="E27" i="128" s="1"/>
  <c r="A101" i="61" s="1"/>
  <c r="F58" i="128"/>
  <c r="F6" i="128"/>
  <c r="E6" i="128" s="1"/>
  <c r="AJ14" i="47" s="1"/>
  <c r="F53" i="128"/>
  <c r="E53" i="128" s="1"/>
  <c r="AK61" i="47" s="1"/>
  <c r="F41" i="128"/>
  <c r="E41" i="128" s="1"/>
  <c r="AJ49" i="47" s="1"/>
  <c r="F60" i="128"/>
  <c r="F117" i="128"/>
  <c r="F57" i="128"/>
  <c r="F34" i="128"/>
  <c r="E34" i="128" s="1"/>
  <c r="AJ42" i="47" s="1"/>
  <c r="F20" i="128"/>
  <c r="E20" i="128" s="1"/>
  <c r="AI28" i="47" s="1"/>
  <c r="F67" i="128"/>
  <c r="F98" i="128"/>
  <c r="F44" i="128"/>
  <c r="E44" i="128" s="1"/>
  <c r="AH52" i="47" s="1"/>
  <c r="AI52" i="47" s="1"/>
  <c r="F49" i="128"/>
  <c r="E49" i="128" s="1"/>
  <c r="A189" i="61" s="1"/>
  <c r="F12" i="128"/>
  <c r="E12" i="128" s="1"/>
  <c r="AH20" i="47" s="1"/>
  <c r="AK20" i="47" s="1"/>
  <c r="F23" i="128"/>
  <c r="E23" i="128" s="1"/>
  <c r="AJ31" i="47" s="1"/>
  <c r="F35" i="128"/>
  <c r="E35" i="128" s="1"/>
  <c r="A133" i="61" s="1"/>
  <c r="H133" i="61" s="1"/>
  <c r="F14" i="128"/>
  <c r="E14" i="128" s="1"/>
  <c r="AH22" i="47" s="1"/>
  <c r="A49" i="61" s="1"/>
  <c r="F128" i="128"/>
  <c r="F95" i="128"/>
  <c r="F110" i="128"/>
  <c r="F111" i="128"/>
  <c r="F93" i="128"/>
  <c r="F3" i="128"/>
  <c r="E3" i="128" s="1"/>
  <c r="F86" i="128"/>
  <c r="F82" i="128"/>
  <c r="F118" i="128"/>
  <c r="AI61" i="47"/>
  <c r="F83" i="128"/>
  <c r="F19" i="128"/>
  <c r="E19" i="128" s="1"/>
  <c r="AJ27" i="47" s="1"/>
  <c r="F127" i="128"/>
  <c r="F42" i="128"/>
  <c r="E42" i="128" s="1"/>
  <c r="A161" i="61" s="1"/>
  <c r="F56" i="128"/>
  <c r="F4" i="128"/>
  <c r="E4" i="128" s="1"/>
  <c r="AH12" i="47" s="1"/>
  <c r="A9" i="61" s="1"/>
  <c r="F28" i="128"/>
  <c r="E28" i="128" s="1"/>
  <c r="AJ36" i="47" s="1"/>
  <c r="F75" i="128"/>
  <c r="F17" i="128"/>
  <c r="E17" i="128" s="1"/>
  <c r="AK25" i="47" s="1"/>
  <c r="F115" i="128"/>
  <c r="F10" i="128"/>
  <c r="E10" i="128" s="1"/>
  <c r="AI18" i="47" s="1"/>
  <c r="F32" i="128"/>
  <c r="E32" i="128" s="1"/>
  <c r="AH40" i="47" s="1"/>
  <c r="AJ40" i="47" s="1"/>
  <c r="F38" i="128"/>
  <c r="E38" i="128" s="1"/>
  <c r="AH46" i="47" s="1"/>
  <c r="AK46" i="47" s="1"/>
  <c r="F101" i="128"/>
  <c r="F16" i="128"/>
  <c r="E16" i="128" s="1"/>
  <c r="A57" i="61" s="1"/>
  <c r="F46" i="128"/>
  <c r="E46" i="128" s="1"/>
  <c r="AK54" i="47" s="1"/>
  <c r="F80" i="128"/>
  <c r="F105" i="128"/>
  <c r="F29" i="128"/>
  <c r="E29" i="128" s="1"/>
  <c r="AI37" i="47" s="1"/>
  <c r="F116" i="128"/>
  <c r="F26" i="128"/>
  <c r="E26" i="128" s="1"/>
  <c r="AH34" i="47" s="1"/>
  <c r="AK34" i="47" s="1"/>
  <c r="F30" i="128"/>
  <c r="E30" i="128" s="1"/>
  <c r="F63" i="128"/>
  <c r="F102" i="128"/>
  <c r="F109" i="128"/>
  <c r="F66" i="128"/>
  <c r="F22" i="128"/>
  <c r="E22" i="128" s="1"/>
  <c r="AH30" i="47" s="1"/>
  <c r="AJ30" i="47" s="1"/>
  <c r="F55" i="128"/>
  <c r="F25" i="128"/>
  <c r="E25" i="128" s="1"/>
  <c r="AJ33" i="47" s="1"/>
  <c r="F7" i="128"/>
  <c r="E7" i="128" s="1"/>
  <c r="AK15" i="47" s="1"/>
  <c r="F15" i="128"/>
  <c r="E15" i="128" s="1"/>
  <c r="AK23" i="47" s="1"/>
  <c r="F11" i="128"/>
  <c r="E11" i="128" s="1"/>
  <c r="AH19" i="47" s="1"/>
  <c r="AK19" i="47" s="1"/>
  <c r="F114" i="128"/>
  <c r="F126" i="128"/>
  <c r="F100" i="128"/>
  <c r="F8" i="128"/>
  <c r="E8" i="128" s="1"/>
  <c r="AH16" i="47" s="1"/>
  <c r="AJ16" i="47" s="1"/>
  <c r="F97" i="128"/>
  <c r="F5" i="128"/>
  <c r="E5" i="128" s="1"/>
  <c r="AH13" i="47" s="1"/>
  <c r="AI13" i="47" s="1"/>
  <c r="F37" i="128"/>
  <c r="E37" i="128" s="1"/>
  <c r="AH45" i="47" s="1"/>
  <c r="AK45" i="47" s="1"/>
  <c r="F47" i="128"/>
  <c r="E47" i="128" s="1"/>
  <c r="AH55" i="47" s="1"/>
  <c r="AK55" i="47" s="1"/>
  <c r="F78" i="128"/>
  <c r="F62" i="128"/>
  <c r="F39" i="128"/>
  <c r="E39" i="128" s="1"/>
  <c r="F71" i="128"/>
  <c r="F70" i="128"/>
  <c r="F13" i="128"/>
  <c r="E13" i="128" s="1"/>
  <c r="AH21" i="47" s="1"/>
  <c r="AJ21" i="47" s="1"/>
  <c r="F51" i="128"/>
  <c r="E51" i="128" s="1"/>
  <c r="F79" i="128"/>
  <c r="F99" i="128"/>
  <c r="F50" i="128"/>
  <c r="E50" i="128" s="1"/>
  <c r="AH58" i="47" s="1"/>
  <c r="F59" i="128"/>
  <c r="F84" i="128"/>
  <c r="F104" i="128"/>
  <c r="F31" i="128"/>
  <c r="E31" i="128" s="1"/>
  <c r="A117" i="61" s="1"/>
  <c r="F130" i="128"/>
  <c r="F54" i="128"/>
  <c r="F129" i="128"/>
  <c r="F61" i="128"/>
  <c r="F33" i="128"/>
  <c r="E33" i="128" s="1"/>
  <c r="AI41" i="47" s="1"/>
  <c r="F73" i="128"/>
  <c r="F91" i="128"/>
  <c r="F43" i="128"/>
  <c r="E43" i="128" s="1"/>
  <c r="F85" i="128"/>
  <c r="AJ17" i="47"/>
  <c r="A29" i="61"/>
  <c r="G29" i="61" s="1"/>
  <c r="AI17" i="47"/>
  <c r="AK17" i="47"/>
  <c r="F36" i="128"/>
  <c r="E36" i="128" s="1"/>
  <c r="F77" i="128"/>
  <c r="F112" i="128"/>
  <c r="F68" i="128"/>
  <c r="F122" i="128"/>
  <c r="F125" i="128"/>
  <c r="AK27" i="47"/>
  <c r="A61" i="61"/>
  <c r="I61" i="61" s="1"/>
  <c r="AJ48" i="47"/>
  <c r="AI14" i="47"/>
  <c r="AK14" i="47"/>
  <c r="AJ28" i="47"/>
  <c r="AK28" i="47"/>
  <c r="F88" i="128"/>
  <c r="F113" i="128"/>
  <c r="F103" i="128"/>
  <c r="F106" i="128"/>
  <c r="F65" i="128"/>
  <c r="F90" i="128"/>
  <c r="F108" i="128"/>
  <c r="F21" i="128"/>
  <c r="E21" i="128" s="1"/>
  <c r="AH29" i="47" s="1"/>
  <c r="F45" i="128"/>
  <c r="E45" i="128" s="1"/>
  <c r="AH53" i="47" s="1"/>
  <c r="F92" i="128"/>
  <c r="F120" i="128"/>
  <c r="F123" i="128"/>
  <c r="F96" i="128"/>
  <c r="F64" i="128"/>
  <c r="F18" i="128"/>
  <c r="E18" i="128" s="1"/>
  <c r="AH26" i="47" s="1"/>
  <c r="F87" i="128"/>
  <c r="I389" i="61"/>
  <c r="G389" i="61"/>
  <c r="H389" i="61"/>
  <c r="AH11" i="47" l="1"/>
  <c r="AI11" i="47" s="1"/>
  <c r="AK52" i="47"/>
  <c r="AI12" i="47"/>
  <c r="AK48" i="47"/>
  <c r="AJ22" i="47"/>
  <c r="AI46" i="47"/>
  <c r="AJ43" i="47"/>
  <c r="AJ34" i="47"/>
  <c r="AK13" i="47"/>
  <c r="AK12" i="47"/>
  <c r="AK22" i="47"/>
  <c r="A69" i="61"/>
  <c r="I69" i="61" s="1"/>
  <c r="AK57" i="47"/>
  <c r="A73" i="61"/>
  <c r="G73" i="61" s="1"/>
  <c r="A153" i="61"/>
  <c r="H153" i="61" s="1"/>
  <c r="AJ12" i="47"/>
  <c r="AI27" i="47"/>
  <c r="AI57" i="47"/>
  <c r="AI22" i="47"/>
  <c r="AJ57" i="47"/>
  <c r="AJ55" i="47"/>
  <c r="AI33" i="47"/>
  <c r="AJ46" i="47"/>
  <c r="AI43" i="47"/>
  <c r="A169" i="61"/>
  <c r="G169" i="61" s="1"/>
  <c r="H61" i="61"/>
  <c r="A93" i="61"/>
  <c r="H93" i="61" s="1"/>
  <c r="AI16" i="47"/>
  <c r="A145" i="61"/>
  <c r="I145" i="61" s="1"/>
  <c r="AI25" i="47"/>
  <c r="AK43" i="47"/>
  <c r="AJ52" i="47"/>
  <c r="G61" i="61"/>
  <c r="AJ25" i="47"/>
  <c r="A201" i="61"/>
  <c r="I201" i="61" s="1"/>
  <c r="A37" i="61"/>
  <c r="I37" i="61" s="1"/>
  <c r="A181" i="61"/>
  <c r="H181" i="61" s="1"/>
  <c r="AI55" i="47"/>
  <c r="A25" i="61"/>
  <c r="G25" i="61" s="1"/>
  <c r="AI19" i="47"/>
  <c r="AK16" i="47"/>
  <c r="AJ19" i="47"/>
  <c r="AK50" i="47"/>
  <c r="AK37" i="47"/>
  <c r="A33" i="61"/>
  <c r="G33" i="61" s="1"/>
  <c r="A89" i="61"/>
  <c r="G89" i="61" s="1"/>
  <c r="A125" i="61"/>
  <c r="G125" i="61" s="1"/>
  <c r="AK32" i="47"/>
  <c r="H9" i="61"/>
  <c r="G9" i="61"/>
  <c r="I9" i="61"/>
  <c r="I49" i="61"/>
  <c r="G49" i="61"/>
  <c r="H49" i="61"/>
  <c r="H189" i="61"/>
  <c r="I189" i="61"/>
  <c r="AK60" i="47"/>
  <c r="A85" i="61"/>
  <c r="A17" i="61"/>
  <c r="G17" i="61" s="1"/>
  <c r="AJ60" i="47"/>
  <c r="AJ24" i="47"/>
  <c r="H29" i="61"/>
  <c r="AI30" i="47"/>
  <c r="AK36" i="47"/>
  <c r="AI15" i="47"/>
  <c r="AI32" i="47"/>
  <c r="AJ54" i="47"/>
  <c r="A53" i="61"/>
  <c r="H53" i="61" s="1"/>
  <c r="AJ20" i="47"/>
  <c r="G161" i="61"/>
  <c r="H161" i="61"/>
  <c r="I161" i="61"/>
  <c r="AK31" i="47"/>
  <c r="AI49" i="47"/>
  <c r="AI40" i="47"/>
  <c r="A157" i="61"/>
  <c r="G157" i="61" s="1"/>
  <c r="H89" i="61"/>
  <c r="AI42" i="47"/>
  <c r="AK41" i="47"/>
  <c r="AI23" i="47"/>
  <c r="AK30" i="47"/>
  <c r="AI54" i="47"/>
  <c r="AI50" i="47"/>
  <c r="AJ35" i="47"/>
  <c r="AK40" i="47"/>
  <c r="I29" i="61"/>
  <c r="AI21" i="47"/>
  <c r="AJ41" i="47"/>
  <c r="AJ23" i="47"/>
  <c r="A81" i="61"/>
  <c r="I81" i="61" s="1"/>
  <c r="A177" i="61"/>
  <c r="AJ50" i="47"/>
  <c r="AI31" i="47"/>
  <c r="AJ39" i="47"/>
  <c r="AK33" i="47"/>
  <c r="A121" i="61"/>
  <c r="A141" i="61"/>
  <c r="A185" i="61"/>
  <c r="I185" i="61" s="1"/>
  <c r="I101" i="61"/>
  <c r="H101" i="61"/>
  <c r="G101" i="61"/>
  <c r="G57" i="61"/>
  <c r="I57" i="61"/>
  <c r="H57" i="61"/>
  <c r="AK42" i="47"/>
  <c r="AK21" i="47"/>
  <c r="AK49" i="47"/>
  <c r="AI56" i="47"/>
  <c r="AJ13" i="47"/>
  <c r="A109" i="61"/>
  <c r="AK24" i="47"/>
  <c r="A105" i="61"/>
  <c r="AI20" i="47"/>
  <c r="AK35" i="47"/>
  <c r="A21" i="61"/>
  <c r="AK56" i="47"/>
  <c r="A129" i="61"/>
  <c r="I129" i="61" s="1"/>
  <c r="I133" i="61"/>
  <c r="A45" i="61"/>
  <c r="A13" i="61"/>
  <c r="AJ37" i="47"/>
  <c r="AI24" i="47"/>
  <c r="AI36" i="47"/>
  <c r="A41" i="61"/>
  <c r="AI35" i="47"/>
  <c r="AJ15" i="47"/>
  <c r="G189" i="61"/>
  <c r="AI39" i="47"/>
  <c r="AJ61" i="47"/>
  <c r="A205" i="61"/>
  <c r="AJ45" i="47"/>
  <c r="A97" i="61"/>
  <c r="AI34" i="47"/>
  <c r="AI47" i="47"/>
  <c r="AK47" i="47"/>
  <c r="A149" i="61"/>
  <c r="AK39" i="47"/>
  <c r="G133" i="61"/>
  <c r="AI45" i="47"/>
  <c r="AJ47" i="47"/>
  <c r="AK18" i="47"/>
  <c r="AJ18" i="47"/>
  <c r="A113" i="61"/>
  <c r="AJ38" i="47"/>
  <c r="AK38" i="47"/>
  <c r="AI38" i="47"/>
  <c r="A165" i="61"/>
  <c r="AK51" i="47"/>
  <c r="AJ51" i="47"/>
  <c r="AI51" i="47"/>
  <c r="AJ58" i="47"/>
  <c r="A193" i="61"/>
  <c r="AI58" i="47"/>
  <c r="AK58" i="47"/>
  <c r="AI59" i="47"/>
  <c r="AK59" i="47"/>
  <c r="A197" i="61"/>
  <c r="AJ59" i="47"/>
  <c r="AJ44" i="47"/>
  <c r="A137" i="61"/>
  <c r="AI44" i="47"/>
  <c r="AK44" i="47"/>
  <c r="A77" i="61"/>
  <c r="AK29" i="47"/>
  <c r="AI29" i="47"/>
  <c r="AJ29" i="47"/>
  <c r="AI26" i="47"/>
  <c r="AK26" i="47"/>
  <c r="A65" i="61"/>
  <c r="AJ26" i="47"/>
  <c r="AI53" i="47"/>
  <c r="A173" i="61"/>
  <c r="AJ53" i="47"/>
  <c r="AK53" i="47"/>
  <c r="I117" i="61"/>
  <c r="H117" i="61"/>
  <c r="G117" i="61"/>
  <c r="AJ11" i="47" l="1"/>
  <c r="AK11" i="47"/>
  <c r="A5" i="61"/>
  <c r="H5" i="61" s="1"/>
  <c r="H73" i="61"/>
  <c r="G69" i="61"/>
  <c r="H69" i="61"/>
  <c r="G153" i="61"/>
  <c r="I153" i="61"/>
  <c r="I73" i="61"/>
  <c r="I93" i="61"/>
  <c r="H169" i="61"/>
  <c r="H37" i="61"/>
  <c r="H25" i="61"/>
  <c r="G145" i="61"/>
  <c r="H201" i="61"/>
  <c r="G201" i="61"/>
  <c r="I25" i="61"/>
  <c r="G93" i="61"/>
  <c r="I169" i="61"/>
  <c r="H145" i="61"/>
  <c r="G37" i="61"/>
  <c r="G129" i="61"/>
  <c r="I181" i="61"/>
  <c r="H129" i="61"/>
  <c r="G81" i="61"/>
  <c r="H33" i="61"/>
  <c r="I125" i="61"/>
  <c r="H81" i="61"/>
  <c r="H125" i="61"/>
  <c r="I33" i="61"/>
  <c r="G181" i="61"/>
  <c r="I89" i="61"/>
  <c r="G185" i="61"/>
  <c r="H85" i="61"/>
  <c r="I85" i="61"/>
  <c r="G53" i="61"/>
  <c r="I53" i="61"/>
  <c r="H185" i="61"/>
  <c r="G85" i="61"/>
  <c r="H17" i="61"/>
  <c r="I17" i="61"/>
  <c r="H157" i="61"/>
  <c r="I157" i="61"/>
  <c r="I141" i="61"/>
  <c r="G141" i="61"/>
  <c r="H141" i="61"/>
  <c r="G177" i="61"/>
  <c r="I177" i="61"/>
  <c r="H177" i="61"/>
  <c r="G121" i="61"/>
  <c r="I121" i="61"/>
  <c r="H121" i="61"/>
  <c r="H21" i="61"/>
  <c r="G21" i="61"/>
  <c r="I21" i="61"/>
  <c r="I45" i="61"/>
  <c r="H45" i="61"/>
  <c r="G45" i="61"/>
  <c r="I109" i="61"/>
  <c r="G109" i="61"/>
  <c r="H109" i="61"/>
  <c r="G105" i="61"/>
  <c r="H105" i="61"/>
  <c r="I105" i="61"/>
  <c r="H41" i="61"/>
  <c r="G41" i="61"/>
  <c r="I41" i="61"/>
  <c r="I13" i="61"/>
  <c r="G13" i="61"/>
  <c r="H13" i="61"/>
  <c r="I205" i="61"/>
  <c r="G205" i="61"/>
  <c r="H205" i="61"/>
  <c r="G149" i="61"/>
  <c r="H149" i="61"/>
  <c r="I149" i="61"/>
  <c r="H97" i="61"/>
  <c r="G97" i="61"/>
  <c r="I97" i="61"/>
  <c r="G113" i="61"/>
  <c r="H113" i="61"/>
  <c r="I113" i="61"/>
  <c r="H197" i="61"/>
  <c r="I197" i="61"/>
  <c r="G197" i="61"/>
  <c r="I193" i="61"/>
  <c r="H193" i="61"/>
  <c r="G193" i="61"/>
  <c r="H165" i="61"/>
  <c r="G165" i="61"/>
  <c r="I165" i="61"/>
  <c r="H137" i="61"/>
  <c r="G137" i="61"/>
  <c r="I137" i="61"/>
  <c r="H65" i="61"/>
  <c r="G65" i="61"/>
  <c r="I65" i="61"/>
  <c r="G173" i="61"/>
  <c r="H173" i="61"/>
  <c r="I173" i="61"/>
  <c r="H77" i="61"/>
  <c r="G77" i="61"/>
  <c r="I77" i="61"/>
  <c r="G5" i="61" l="1"/>
  <c r="I5"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<sst xmlns="http://schemas.openxmlformats.org/spreadsheetml/2006/main" count="9251" uniqueCount="2006">
  <si>
    <t>Podřipský pohár</t>
  </si>
  <si>
    <t>Mozartovy koule</t>
  </si>
  <si>
    <t>Olomouc</t>
  </si>
  <si>
    <t>Svatováclavské dukáty</t>
  </si>
  <si>
    <t>Svatováclavské koulení</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</si>
  <si>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</si>
  <si>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</si>
  <si>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</si>
  <si>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</si>
  <si>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</si>
  <si>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</si>
  <si>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</si>
  <si>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</si>
  <si>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</si>
  <si>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</si>
  <si>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</si>
  <si>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</si>
  <si>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</si>
  <si>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</si>
  <si>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</si>
  <si>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</si>
  <si>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</si>
  <si>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</si>
  <si>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</si>
  <si>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</si>
  <si>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</si>
  <si>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</si>
  <si>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</si>
  <si>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</si>
  <si>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</si>
  <si>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</si>
  <si>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</si>
  <si>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</si>
  <si>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</si>
  <si>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</si>
  <si>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</si>
  <si>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</si>
  <si>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</si>
  <si>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</si>
  <si>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</si>
  <si>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</si>
  <si>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</si>
  <si>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</si>
  <si>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Beer</t>
  </si>
  <si>
    <t>Rostislav</t>
  </si>
  <si>
    <t>Bejvlová</t>
  </si>
  <si>
    <t>Jiří</t>
  </si>
  <si>
    <t>Bernát</t>
  </si>
  <si>
    <t>Bernátová</t>
  </si>
  <si>
    <t>Zdenka</t>
  </si>
  <si>
    <t>Beránek</t>
  </si>
  <si>
    <t>Radka</t>
  </si>
  <si>
    <t>P.C.B.D.</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</si>
  <si>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</si>
  <si>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</si>
  <si>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</si>
  <si>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</si>
  <si>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</si>
  <si>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</si>
  <si>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</si>
  <si>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</si>
  <si>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</si>
  <si>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</si>
  <si>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</si>
  <si>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</si>
  <si>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</si>
  <si>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</si>
  <si>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</si>
  <si>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</si>
  <si>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</si>
  <si>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</si>
  <si>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</si>
  <si>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</si>
  <si>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</si>
  <si>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</si>
  <si>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</si>
  <si>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</si>
  <si>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</si>
  <si>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</si>
  <si>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</si>
  <si>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</si>
  <si>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</si>
  <si>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</si>
  <si>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</si>
  <si>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</si>
  <si>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</si>
  <si>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</si>
  <si>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</si>
  <si>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</si>
  <si>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</si>
  <si>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</si>
  <si>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</si>
  <si>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</si>
  <si>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</si>
  <si>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</si>
  <si>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</si>
  <si>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</si>
  <si>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</si>
  <si>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</si>
  <si>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</si>
  <si>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</si>
  <si>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</si>
  <si>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</si>
  <si>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</si>
  <si>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</si>
  <si>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</si>
  <si>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</si>
  <si>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</si>
  <si>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</si>
  <si>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</si>
  <si>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</si>
  <si>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</si>
  <si>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Kateřina</t>
  </si>
  <si>
    <t>Chovan</t>
  </si>
  <si>
    <t>Chval</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</si>
  <si>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</si>
  <si>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</si>
  <si>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</si>
  <si>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</si>
  <si>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</si>
  <si>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</si>
  <si>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</si>
  <si>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</si>
  <si>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</si>
  <si>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</si>
  <si>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</si>
  <si>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</si>
  <si>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</si>
  <si>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</si>
  <si>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</si>
  <si>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</si>
  <si>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</si>
  <si>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</si>
  <si>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</si>
  <si>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</si>
  <si>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Dujava</t>
  </si>
  <si>
    <t>Dujavová</t>
  </si>
  <si>
    <t>Dagmar</t>
  </si>
  <si>
    <t>Monika</t>
  </si>
  <si>
    <t>JZ</t>
  </si>
  <si>
    <t>Dušková</t>
  </si>
  <si>
    <t>Dvořák</t>
  </si>
  <si>
    <t>Dvořáková</t>
  </si>
  <si>
    <t>Jarmila</t>
  </si>
  <si>
    <t>Tatiana</t>
  </si>
  <si>
    <t>Dědina</t>
  </si>
  <si>
    <t>Eiselt</t>
  </si>
  <si>
    <t>Bohumil</t>
  </si>
  <si>
    <t>Eiseltová</t>
  </si>
  <si>
    <t>Ivanka</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</si>
  <si>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</si>
  <si>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</si>
  <si>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</si>
  <si>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</si>
  <si>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</si>
  <si>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</si>
  <si>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</si>
  <si>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</si>
  <si>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</si>
  <si>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</si>
  <si>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</si>
  <si>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</si>
  <si>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</si>
  <si>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</si>
  <si>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</si>
  <si>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</si>
  <si>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</si>
  <si>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</si>
  <si>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</si>
  <si>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</si>
  <si>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</si>
  <si>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</si>
  <si>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</si>
  <si>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</si>
  <si>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</si>
  <si>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Gargulák</t>
  </si>
  <si>
    <t>Gavlas</t>
  </si>
  <si>
    <t>Ivo</t>
  </si>
  <si>
    <t>Glan</t>
  </si>
  <si>
    <t>Bernabe</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</si>
  <si>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</si>
  <si>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</si>
  <si>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</si>
  <si>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</si>
  <si>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</si>
  <si>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</si>
  <si>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</si>
  <si>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</si>
  <si>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</si>
  <si>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</si>
  <si>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</si>
  <si>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</si>
  <si>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</si>
  <si>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</si>
  <si>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</si>
  <si>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</si>
  <si>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</si>
  <si>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Hašek</t>
  </si>
  <si>
    <t>Hašková</t>
  </si>
  <si>
    <t>Vlastimila</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</si>
  <si>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</si>
  <si>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</si>
  <si>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</si>
  <si>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</si>
  <si>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</si>
  <si>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</si>
  <si>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</si>
  <si>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</si>
  <si>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</si>
  <si>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</si>
  <si>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</si>
  <si>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</si>
  <si>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</si>
  <si>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</si>
  <si>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</si>
  <si>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</si>
  <si>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</si>
  <si>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</si>
  <si>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</si>
  <si>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</si>
  <si>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</si>
  <si>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</si>
  <si>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</si>
  <si>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</si>
  <si>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</si>
  <si>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</si>
  <si>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</si>
  <si>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</si>
  <si>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</si>
  <si>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</si>
  <si>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</si>
  <si>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</si>
  <si>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</si>
  <si>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</si>
  <si>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</si>
  <si>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</si>
  <si>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</si>
  <si>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</si>
  <si>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</si>
  <si>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</si>
  <si>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</si>
  <si>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</si>
  <si>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</si>
  <si>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</si>
  <si>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</si>
  <si>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</si>
  <si>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</si>
  <si>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</si>
  <si>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</si>
  <si>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</si>
  <si>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</si>
  <si>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</si>
  <si>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</si>
  <si>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</si>
  <si>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</si>
  <si>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</si>
  <si>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</si>
  <si>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</si>
  <si>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</si>
  <si>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</si>
  <si>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</si>
  <si>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</si>
  <si>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</si>
  <si>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</si>
  <si>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</si>
  <si>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</si>
  <si>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</si>
  <si>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</si>
  <si>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</si>
  <si>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</si>
  <si>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</si>
  <si>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</si>
  <si>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</si>
  <si>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</si>
  <si>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</si>
  <si>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</si>
  <si>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</si>
  <si>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</si>
  <si>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</si>
  <si>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</si>
  <si>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Kachlíř</t>
  </si>
  <si>
    <t>Kadavá</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</si>
  <si>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</si>
  <si>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</si>
  <si>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</si>
  <si>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</si>
  <si>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</si>
  <si>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</si>
  <si>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</si>
  <si>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</si>
  <si>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</si>
  <si>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</si>
  <si>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</si>
  <si>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</si>
  <si>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</si>
  <si>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</si>
  <si>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</si>
  <si>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</si>
  <si>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</si>
  <si>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</si>
  <si>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</si>
  <si>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</si>
  <si>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</si>
  <si>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</si>
  <si>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</si>
  <si>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</si>
  <si>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</si>
  <si>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</si>
  <si>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</si>
  <si>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</si>
  <si>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</si>
  <si>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</si>
  <si>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</si>
  <si>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Koláčná</t>
  </si>
  <si>
    <t>Koláčný</t>
  </si>
  <si>
    <t>Kolářová</t>
  </si>
  <si>
    <t>Zdeňka</t>
  </si>
  <si>
    <t>Konečná</t>
  </si>
  <si>
    <t>Mariana</t>
  </si>
  <si>
    <t>Konečný</t>
  </si>
  <si>
    <t>Jonáš</t>
  </si>
  <si>
    <t>Konopásek</t>
  </si>
  <si>
    <t>Konšel</t>
  </si>
  <si>
    <t>Končel</t>
  </si>
  <si>
    <t>Veronika</t>
  </si>
  <si>
    <t>Koreš</t>
  </si>
  <si>
    <t>Korešová</t>
  </si>
  <si>
    <t>Koucký</t>
  </si>
  <si>
    <t>Radek</t>
  </si>
  <si>
    <t>Koudelková</t>
  </si>
  <si>
    <t>Ema</t>
  </si>
  <si>
    <t>Kousal</t>
  </si>
  <si>
    <t>Kozelský</t>
  </si>
  <si>
    <t>Kočiš</t>
  </si>
  <si>
    <t>Koňák</t>
  </si>
  <si>
    <t>Krajánková</t>
  </si>
  <si>
    <t>Krajíček</t>
  </si>
  <si>
    <t>Krajíčková</t>
  </si>
  <si>
    <t>Krassa</t>
  </si>
  <si>
    <t>Kratochvíl</t>
  </si>
  <si>
    <t>Slavomír</t>
  </si>
  <si>
    <t>Kraus</t>
  </si>
  <si>
    <t>Kravka</t>
  </si>
  <si>
    <t>Krejčín</t>
  </si>
  <si>
    <t>Leoš</t>
  </si>
  <si>
    <t>Krejčínová</t>
  </si>
  <si>
    <t>Lenka</t>
  </si>
  <si>
    <t>Krpcová</t>
  </si>
  <si>
    <t>Krpec</t>
  </si>
  <si>
    <t>Krtička</t>
  </si>
  <si>
    <t>Král</t>
  </si>
  <si>
    <t>Králová</t>
  </si>
  <si>
    <t>Renáta</t>
  </si>
  <si>
    <t>Krůlová</t>
  </si>
  <si>
    <t>Kubeš</t>
  </si>
  <si>
    <t>Kubík</t>
  </si>
  <si>
    <t>Kuchler</t>
  </si>
  <si>
    <t>Kuchyňka</t>
  </si>
  <si>
    <t>Václava</t>
  </si>
  <si>
    <t>Kujanová</t>
  </si>
  <si>
    <t>Naďa</t>
  </si>
  <si>
    <t>Kulhánek</t>
  </si>
  <si>
    <t>Kunc</t>
  </si>
  <si>
    <t>Kutá</t>
  </si>
  <si>
    <t>Kutý</t>
  </si>
  <si>
    <t>Kučera</t>
  </si>
  <si>
    <t>Kučerová</t>
  </si>
  <si>
    <t>Michaela</t>
  </si>
  <si>
    <t>Kyzivát</t>
  </si>
  <si>
    <t>König</t>
  </si>
  <si>
    <t>Drahomír</t>
  </si>
  <si>
    <t>Radovan</t>
  </si>
  <si>
    <t>Lapihuska</t>
  </si>
  <si>
    <t>Milan Ml.</t>
  </si>
  <si>
    <t>Robert</t>
  </si>
  <si>
    <t>Leiský</t>
  </si>
  <si>
    <t>Leander</t>
  </si>
  <si>
    <t>Linduška</t>
  </si>
  <si>
    <t>Lindušková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</si>
  <si>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</si>
  <si>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</si>
  <si>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</si>
  <si>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</si>
  <si>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</si>
  <si>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</si>
  <si>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</si>
  <si>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</si>
  <si>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</si>
  <si>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</si>
  <si>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</si>
  <si>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</si>
  <si>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</si>
  <si>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</si>
  <si>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</si>
  <si>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</si>
  <si>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</si>
  <si>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</si>
  <si>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Mareček</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</si>
  <si>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</si>
  <si>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</si>
  <si>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</si>
  <si>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</si>
  <si>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</si>
  <si>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</si>
  <si>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</si>
  <si>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</si>
  <si>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</si>
  <si>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</si>
  <si>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</si>
  <si>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</si>
  <si>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</si>
  <si>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</si>
  <si>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</si>
  <si>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</si>
  <si>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</si>
  <si>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</si>
  <si>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</si>
  <si>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</si>
  <si>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</si>
  <si>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</si>
  <si>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</si>
  <si>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</si>
  <si>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Mrňka</t>
  </si>
  <si>
    <t>Mrňák</t>
  </si>
  <si>
    <t>Mrňáková</t>
  </si>
  <si>
    <t>Musil</t>
  </si>
  <si>
    <t>Muzikant</t>
  </si>
  <si>
    <t>Muzikantová</t>
  </si>
  <si>
    <t>Naděžda</t>
  </si>
  <si>
    <t>Mužík</t>
  </si>
  <si>
    <t>Mužíková</t>
  </si>
  <si>
    <t>Nagy</t>
  </si>
  <si>
    <t>Navalaný</t>
  </si>
  <si>
    <t>Navrátil</t>
  </si>
  <si>
    <t>Navrátilová</t>
  </si>
  <si>
    <t>Netušil</t>
  </si>
  <si>
    <t>Novotný</t>
  </si>
  <si>
    <t>Novák</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</si>
  <si>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</si>
  <si>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</si>
  <si>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</si>
  <si>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</si>
  <si>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</si>
  <si>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</si>
  <si>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</si>
  <si>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</si>
  <si>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</si>
  <si>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</si>
  <si>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</si>
  <si>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</si>
  <si>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</si>
  <si>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</si>
  <si>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</si>
  <si>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</si>
  <si>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</si>
  <si>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</si>
  <si>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</si>
  <si>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</si>
  <si>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</si>
  <si>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</si>
  <si>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</si>
  <si>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</si>
  <si>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</si>
  <si>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</si>
  <si>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</si>
  <si>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</si>
  <si>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</si>
  <si>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</si>
  <si>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</si>
  <si>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</si>
  <si>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</si>
  <si>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</si>
  <si>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Plesník</t>
  </si>
  <si>
    <t>Plucar</t>
  </si>
  <si>
    <t>Antonín</t>
  </si>
  <si>
    <t>Plucarová</t>
  </si>
  <si>
    <t>Polách</t>
  </si>
  <si>
    <t>Poláchová</t>
  </si>
  <si>
    <t>Anna</t>
  </si>
  <si>
    <t>Polák</t>
  </si>
  <si>
    <t>Aleš</t>
  </si>
  <si>
    <t>Popelka</t>
  </si>
  <si>
    <t>Pospíšilová</t>
  </si>
  <si>
    <t>Kamila</t>
  </si>
  <si>
    <t>Potužák</t>
  </si>
  <si>
    <t>Pořízka</t>
  </si>
  <si>
    <t>Adam</t>
  </si>
  <si>
    <t>Zbyšek</t>
  </si>
  <si>
    <t>Preuss</t>
  </si>
  <si>
    <t>Věra</t>
  </si>
  <si>
    <t>Proroková</t>
  </si>
  <si>
    <t>Puhr</t>
  </si>
  <si>
    <t>Pulda</t>
  </si>
  <si>
    <t>Miroš</t>
  </si>
  <si>
    <t>Puldová</t>
  </si>
  <si>
    <t>Pánek</t>
  </si>
  <si>
    <t>Pírek</t>
  </si>
  <si>
    <t>Přibyl</t>
  </si>
  <si>
    <t>Přibylová</t>
  </si>
  <si>
    <t>Přikrylová</t>
  </si>
  <si>
    <t>Regina</t>
  </si>
  <si>
    <t>Radojčič</t>
  </si>
  <si>
    <t>Siniša</t>
  </si>
  <si>
    <t>Radoušová</t>
  </si>
  <si>
    <t>Rajtarová</t>
  </si>
  <si>
    <t>Reinbergrová</t>
  </si>
  <si>
    <t>Rendeková</t>
  </si>
  <si>
    <t>Rendla</t>
  </si>
  <si>
    <t>Resl</t>
  </si>
  <si>
    <t>Režová</t>
  </si>
  <si>
    <t>Rolínek</t>
  </si>
  <si>
    <t>Peter</t>
  </si>
  <si>
    <t>Roubín</t>
  </si>
  <si>
    <t>Rybářová</t>
  </si>
  <si>
    <t>Libuše</t>
  </si>
  <si>
    <t>Rychtář</t>
  </si>
  <si>
    <t>Rychtářová</t>
  </si>
  <si>
    <t>Stanislava</t>
  </si>
  <si>
    <t>Rylich</t>
  </si>
  <si>
    <t>Rylichová</t>
  </si>
  <si>
    <t>Rytíř</t>
  </si>
  <si>
    <t>Rössl</t>
  </si>
  <si>
    <t>Růžičková</t>
  </si>
  <si>
    <t>Salmi</t>
  </si>
  <si>
    <t>Makhlouf</t>
  </si>
  <si>
    <t>Schinzel</t>
  </si>
  <si>
    <t>Schliegsbirová</t>
  </si>
  <si>
    <t>Schwarz</t>
  </si>
  <si>
    <t>Shon</t>
  </si>
  <si>
    <t>Šimon</t>
  </si>
  <si>
    <t>Skácel</t>
  </si>
  <si>
    <t>Slavíčková</t>
  </si>
  <si>
    <t>Slobodová</t>
  </si>
  <si>
    <t>Smola</t>
  </si>
  <si>
    <t>Jaroslav Ml.</t>
  </si>
  <si>
    <t>Jaroslav Sr.</t>
  </si>
  <si>
    <t>Lumír St.</t>
  </si>
  <si>
    <t>Soldán</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</si>
  <si>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</si>
  <si>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</si>
  <si>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</si>
  <si>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</si>
  <si>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</si>
  <si>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</si>
  <si>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</si>
  <si>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</si>
  <si>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</si>
  <si>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</si>
  <si>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</si>
  <si>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</si>
  <si>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</si>
  <si>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</si>
  <si>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</si>
  <si>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</si>
  <si>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</si>
  <si>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</si>
  <si>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</si>
  <si>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</si>
  <si>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</si>
  <si>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</si>
  <si>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</si>
  <si>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</si>
  <si>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</si>
  <si>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</si>
  <si>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Turinský</t>
  </si>
  <si>
    <t>Tymeš</t>
  </si>
  <si>
    <t>Tyrol</t>
  </si>
  <si>
    <t>Uhlár</t>
  </si>
  <si>
    <t>Urbanová</t>
  </si>
  <si>
    <t>Bronislava</t>
  </si>
  <si>
    <t>Vahalová</t>
  </si>
  <si>
    <t>Vajčovec</t>
  </si>
  <si>
    <t>Valentová</t>
  </si>
  <si>
    <t>Valenz</t>
  </si>
  <si>
    <t>Valenzová</t>
  </si>
  <si>
    <t>Valášek</t>
  </si>
  <si>
    <t>Valášková</t>
  </si>
  <si>
    <t>Valík</t>
  </si>
  <si>
    <t>Výhry soupeřů</t>
  </si>
  <si>
    <t>Vančurová</t>
  </si>
  <si>
    <t>Romana</t>
  </si>
  <si>
    <t>Vaníček</t>
  </si>
  <si>
    <t>Rudolf</t>
  </si>
  <si>
    <t>Vaníčková</t>
  </si>
  <si>
    <t>Vavrovič</t>
  </si>
  <si>
    <t>Vašíček</t>
  </si>
  <si>
    <t>Vašíčková</t>
  </si>
  <si>
    <t>Julie</t>
  </si>
  <si>
    <t>Vejrek</t>
  </si>
  <si>
    <t>Velek</t>
  </si>
  <si>
    <t>Vencl</t>
  </si>
  <si>
    <t>Venclová</t>
  </si>
  <si>
    <t>Vinopalová</t>
  </si>
  <si>
    <t>Vlk</t>
  </si>
  <si>
    <t>Vlček</t>
  </si>
  <si>
    <t>Vochoč</t>
  </si>
  <si>
    <t>Vokrouhlíková</t>
  </si>
  <si>
    <t>Volenec</t>
  </si>
  <si>
    <t>Vorlíček</t>
  </si>
  <si>
    <t>Vozka</t>
  </si>
  <si>
    <t>Vykoukal</t>
  </si>
  <si>
    <t>Wenig</t>
  </si>
  <si>
    <t>Thomas</t>
  </si>
  <si>
    <t>Zahradník</t>
  </si>
  <si>
    <t>Zapletalová</t>
  </si>
  <si>
    <t>Zdobinská</t>
  </si>
  <si>
    <t>Zdobinský</t>
  </si>
  <si>
    <t>Ziegler</t>
  </si>
  <si>
    <t>Jochen</t>
  </si>
  <si>
    <t>Znamínko</t>
  </si>
  <si>
    <t>Zoubek</t>
  </si>
  <si>
    <t>Šafrata</t>
  </si>
  <si>
    <t>Šafratová</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</si>
  <si>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</si>
  <si>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</si>
  <si>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</si>
  <si>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</si>
  <si>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</si>
  <si>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</si>
  <si>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</si>
  <si>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</si>
  <si>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</si>
  <si>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</si>
  <si>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</si>
  <si>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</si>
  <si>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</si>
  <si>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</si>
  <si>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</si>
  <si>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</si>
  <si>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</si>
  <si>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</si>
  <si>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</si>
  <si>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</si>
  <si>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</si>
  <si>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</si>
  <si>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</si>
  <si>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</si>
  <si>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</si>
  <si>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</si>
  <si>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</si>
  <si>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</si>
  <si>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</si>
  <si>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</si>
  <si>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</si>
  <si>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</si>
  <si>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</si>
  <si>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</si>
  <si>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</si>
  <si>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</si>
  <si>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</si>
  <si>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</si>
  <si>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</si>
  <si>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</si>
  <si>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</si>
  <si>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</si>
  <si>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</si>
  <si>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</si>
  <si>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</si>
  <si>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</si>
  <si>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</si>
  <si>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</si>
  <si>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</si>
  <si>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</si>
  <si>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</si>
  <si>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</si>
  <si>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</si>
  <si>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</si>
  <si>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</si>
  <si>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</si>
  <si>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</si>
  <si>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</si>
  <si>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</si>
  <si>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</si>
  <si>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</si>
  <si>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</si>
  <si>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</si>
  <si>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</si>
  <si>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</si>
  <si>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</si>
  <si>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</si>
  <si>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</si>
  <si>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</si>
  <si>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</si>
  <si>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</si>
  <si>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</si>
  <si>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</si>
  <si>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</si>
  <si>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</si>
  <si>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</si>
  <si>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</si>
  <si>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</si>
  <si>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</si>
  <si>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</si>
  <si>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</si>
  <si>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</si>
  <si>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</si>
  <si>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</si>
  <si>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</si>
  <si>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</si>
  <si>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</si>
  <si>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</si>
  <si>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</si>
  <si>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</si>
  <si>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</si>
  <si>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</si>
  <si>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</si>
  <si>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</si>
  <si>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</si>
  <si>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</si>
  <si>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</si>
  <si>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</si>
  <si>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</si>
  <si>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</si>
  <si>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</si>
  <si>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</si>
  <si>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</si>
  <si>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</si>
  <si>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</si>
  <si>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</si>
  <si>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</si>
  <si>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</si>
  <si>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</si>
  <si>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</si>
  <si>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</si>
  <si>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</si>
  <si>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</si>
  <si>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</si>
  <si>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</si>
  <si>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</si>
  <si>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</si>
  <si>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</si>
  <si>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</si>
  <si>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</si>
  <si>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</si>
  <si>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</si>
  <si>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</si>
  <si>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</si>
  <si>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</si>
  <si>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</si>
  <si>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</si>
  <si>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</si>
  <si>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</si>
  <si>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</si>
  <si>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</si>
  <si>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</si>
  <si>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</si>
  <si>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</si>
  <si>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</si>
  <si>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</si>
  <si>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</si>
  <si>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</si>
  <si>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</si>
  <si>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</si>
  <si>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</si>
  <si>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</si>
  <si>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</si>
  <si>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</si>
  <si>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</si>
  <si>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</si>
  <si>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</si>
  <si>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</si>
  <si>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</si>
  <si>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</si>
  <si>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</si>
  <si>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</si>
  <si>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</si>
  <si>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</si>
  <si>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</si>
  <si>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</si>
  <si>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</si>
  <si>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</si>
  <si>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</si>
  <si>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</si>
  <si>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</si>
  <si>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</si>
  <si>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</si>
  <si>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</si>
  <si>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</si>
  <si>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</si>
  <si>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</si>
  <si>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</si>
  <si>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</si>
  <si>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</si>
  <si>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</si>
  <si>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</si>
  <si>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</si>
  <si>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</si>
  <si>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</si>
  <si>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</si>
  <si>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</si>
  <si>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</si>
  <si>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</si>
  <si>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</si>
  <si>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</si>
  <si>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</si>
  <si>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</si>
  <si>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</si>
  <si>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</si>
  <si>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</si>
  <si>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</si>
  <si>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</si>
  <si>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</si>
  <si>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</si>
  <si>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</si>
  <si>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</si>
  <si>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</si>
  <si>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</si>
  <si>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</si>
  <si>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</si>
  <si>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</si>
  <si>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</si>
  <si>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</si>
  <si>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</si>
  <si>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</si>
  <si>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</si>
  <si>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</si>
  <si>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</si>
  <si>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</si>
  <si>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</si>
  <si>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</si>
  <si>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</si>
  <si>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</si>
  <si>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</si>
  <si>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</si>
  <si>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</si>
  <si>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</si>
  <si>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</si>
  <si>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</si>
  <si>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</si>
  <si>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</si>
  <si>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</si>
  <si>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</si>
  <si>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</si>
  <si>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</si>
  <si>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</si>
  <si>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</si>
  <si>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</si>
  <si>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</si>
  <si>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</si>
  <si>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</si>
  <si>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</si>
  <si>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</si>
  <si>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</si>
  <si>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</si>
  <si>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</si>
  <si>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</si>
  <si>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</si>
  <si>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</si>
  <si>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</si>
  <si>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</si>
  <si>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</si>
  <si>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</si>
  <si>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</si>
  <si>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</si>
  <si>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</si>
  <si>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</si>
  <si>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</si>
  <si>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</si>
  <si>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</si>
  <si>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</si>
  <si>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</si>
  <si>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</si>
  <si>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</si>
  <si>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</si>
  <si>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</si>
  <si>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</si>
  <si>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</si>
  <si>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</si>
  <si>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</si>
  <si>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</si>
  <si>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</si>
  <si>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</si>
  <si>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</si>
  <si>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</si>
  <si>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</si>
  <si>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</si>
  <si>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</si>
  <si>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</si>
  <si>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</si>
  <si>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</si>
  <si>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</si>
  <si>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</si>
  <si>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</si>
  <si>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</si>
  <si>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</si>
  <si>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</si>
  <si>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</si>
  <si>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</si>
  <si>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</si>
  <si>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</si>
  <si>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</si>
  <si>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</si>
  <si>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</si>
  <si>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</si>
  <si>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</si>
  <si>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</si>
  <si>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</si>
  <si>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</si>
  <si>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</si>
  <si>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</si>
  <si>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</si>
  <si>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</si>
  <si>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</si>
  <si>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</si>
  <si>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</si>
  <si>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</si>
  <si>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</si>
  <si>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</si>
  <si>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</si>
  <si>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</si>
  <si>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</si>
  <si>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</si>
  <si>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</si>
  <si>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</si>
  <si>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</si>
  <si>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</si>
  <si>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</si>
  <si>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</si>
  <si>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</si>
  <si>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</si>
  <si>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</si>
  <si>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</si>
  <si>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</si>
  <si>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</si>
  <si>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</si>
  <si>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</si>
  <si>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</si>
  <si>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</si>
  <si>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</si>
  <si>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</si>
  <si>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</si>
  <si>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</si>
  <si>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</si>
  <si>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</si>
  <si>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</si>
  <si>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</si>
  <si>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</si>
  <si>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</si>
  <si>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</si>
  <si>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</si>
  <si>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</si>
  <si>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</si>
  <si>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</si>
  <si>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</si>
  <si>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</si>
  <si>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</si>
  <si>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</si>
  <si>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</si>
  <si>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</si>
  <si>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</si>
  <si>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</si>
  <si>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</si>
  <si>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</si>
  <si>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</si>
  <si>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</si>
  <si>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</si>
  <si>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</si>
  <si>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</si>
  <si>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</si>
  <si>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</si>
  <si>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</si>
  <si>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</si>
  <si>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</si>
  <si>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</si>
  <si>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</si>
  <si>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</si>
  <si>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</si>
  <si>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</si>
  <si>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</si>
  <si>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</si>
  <si>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</si>
  <si>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</si>
  <si>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</si>
  <si>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</si>
  <si>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</si>
  <si>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</si>
  <si>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</si>
  <si>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</si>
  <si>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</si>
  <si>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</si>
  <si>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</si>
  <si>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</si>
  <si>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</si>
  <si>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</si>
  <si>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</si>
  <si>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</si>
  <si>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</si>
  <si>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</si>
  <si>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</si>
  <si>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</si>
  <si>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</si>
  <si>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</si>
  <si>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</si>
  <si>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</si>
  <si>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</si>
  <si>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</si>
  <si>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</si>
  <si>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</si>
  <si>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</si>
  <si>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</si>
  <si>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</si>
  <si>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</si>
  <si>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</si>
  <si>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</si>
  <si>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</si>
  <si>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</si>
  <si>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</si>
  <si>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</si>
  <si>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</si>
  <si>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</si>
  <si>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</si>
  <si>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</si>
  <si>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</si>
  <si>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</si>
  <si>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</si>
  <si>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</si>
  <si>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</si>
  <si>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</si>
  <si>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</si>
  <si>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</si>
  <si>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</si>
  <si>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</si>
  <si>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</si>
  <si>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</si>
  <si>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</si>
  <si>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</si>
  <si>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</si>
  <si>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</si>
  <si>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</si>
  <si>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</si>
  <si>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</si>
  <si>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</si>
  <si>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</si>
  <si>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</si>
  <si>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</si>
  <si>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</si>
  <si>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</si>
  <si>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</si>
  <si>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</si>
  <si>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</si>
  <si>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</si>
  <si>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</si>
  <si>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</si>
  <si>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</si>
  <si>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</si>
  <si>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</si>
  <si>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</si>
  <si>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</si>
  <si>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</si>
  <si>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</si>
  <si>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</si>
  <si>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</si>
  <si>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</si>
  <si>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</si>
  <si>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</si>
  <si>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</si>
  <si>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</si>
  <si>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</si>
  <si>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</si>
  <si>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</si>
  <si>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</si>
  <si>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</si>
  <si>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</si>
  <si>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</si>
  <si>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</si>
  <si>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</si>
  <si>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</si>
  <si>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</si>
  <si>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</si>
  <si>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</si>
  <si>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</si>
  <si>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</si>
  <si>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</si>
  <si>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</si>
  <si>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</si>
  <si>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</si>
  <si>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</si>
  <si>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</si>
  <si>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</si>
  <si>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</si>
  <si>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</si>
  <si>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</si>
  <si>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</si>
  <si>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</si>
  <si>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</si>
  <si>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</si>
  <si>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</si>
  <si>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</si>
  <si>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</si>
  <si>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</si>
  <si>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</si>
  <si>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</si>
  <si>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</si>
  <si>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</si>
  <si>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</si>
  <si>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</si>
  <si>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</si>
  <si>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</si>
  <si>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</si>
  <si>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</si>
  <si>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</si>
  <si>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</si>
  <si>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</si>
  <si>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</si>
  <si>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</si>
  <si>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</si>
  <si>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</si>
  <si>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</si>
  <si>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</si>
  <si>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</si>
  <si>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</si>
  <si>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</si>
  <si>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</si>
  <si>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</si>
  <si>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</si>
  <si>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</si>
  <si>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</si>
  <si>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</si>
  <si>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</si>
  <si>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</si>
  <si>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</si>
  <si>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</si>
  <si>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</si>
  <si>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</si>
  <si>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</si>
  <si>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</si>
  <si>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</si>
  <si>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Litovel ÓPN</t>
  </si>
  <si>
    <t>CTP club Ořech</t>
  </si>
  <si>
    <t>Prvomájové koulení</t>
  </si>
  <si>
    <t>Kolová</t>
  </si>
  <si>
    <t>ČPK Poděbrady</t>
  </si>
  <si>
    <t>Starostovo jarní koulení</t>
  </si>
  <si>
    <t>Cheb</t>
  </si>
  <si>
    <t>PC Egrensis</t>
  </si>
  <si>
    <t>Albrechtický kahan</t>
  </si>
  <si>
    <t>HP Třebíč</t>
  </si>
  <si>
    <t>Stolín</t>
  </si>
  <si>
    <t>PEK Stolín</t>
  </si>
  <si>
    <t>Memory Cup</t>
  </si>
  <si>
    <t>TOP Orlová</t>
  </si>
  <si>
    <t>Loděnice</t>
  </si>
  <si>
    <t>CdP Loděnice</t>
  </si>
  <si>
    <t>VARAN</t>
  </si>
  <si>
    <t>Krumsín</t>
  </si>
  <si>
    <t>Krakonošovy koule</t>
  </si>
  <si>
    <t>Vrchlabí</t>
  </si>
  <si>
    <t>1. KPK Vrchlabí</t>
  </si>
  <si>
    <t>O pohár CdP Loděnice</t>
  </si>
  <si>
    <t>ŽEPEC</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</si>
  <si>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</si>
  <si>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</si>
  <si>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</si>
  <si>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</si>
  <si>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</si>
  <si>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</si>
  <si>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</si>
  <si>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</si>
  <si>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</si>
  <si>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</si>
  <si>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</si>
  <si>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</si>
  <si>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</si>
  <si>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</si>
  <si>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</si>
  <si>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</si>
  <si>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</si>
  <si>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</si>
  <si>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</si>
  <si>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</si>
  <si>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</si>
  <si>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</si>
  <si>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</si>
  <si>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</si>
  <si>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</si>
  <si>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</si>
  <si>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</si>
  <si>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</si>
  <si>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</si>
  <si>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</si>
  <si>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</si>
  <si>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</si>
  <si>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</si>
  <si>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</si>
  <si>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</si>
  <si>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</si>
  <si>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Kolář</t>
  </si>
  <si>
    <t>Kulový blesk Olomouc</t>
  </si>
  <si>
    <t>Vendula</t>
  </si>
  <si>
    <t>Kuchař</t>
  </si>
  <si>
    <t>Jan ml.</t>
  </si>
  <si>
    <t>Jan st.</t>
  </si>
  <si>
    <t>Lenhartová</t>
  </si>
  <si>
    <t>Lesklé koule - 1. PC Líšnic</t>
  </si>
  <si>
    <t>Mallatová</t>
  </si>
  <si>
    <t>Mazúr</t>
  </si>
  <si>
    <t>Mitkovová</t>
  </si>
  <si>
    <t>Mrázek</t>
  </si>
  <si>
    <t>Rychter</t>
  </si>
  <si>
    <t>Rychterová</t>
  </si>
  <si>
    <t>Schaal</t>
  </si>
  <si>
    <t>Skokan</t>
  </si>
  <si>
    <t>Martina</t>
  </si>
  <si>
    <t>Slaný</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</si>
  <si>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</si>
  <si>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</si>
  <si>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</si>
  <si>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</si>
  <si>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</si>
  <si>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</si>
  <si>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</si>
  <si>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</si>
  <si>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</si>
  <si>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</si>
  <si>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</si>
  <si>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</si>
  <si>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</si>
  <si>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</si>
  <si>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</si>
  <si>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</si>
  <si>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</si>
  <si>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</si>
  <si>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</si>
  <si>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</si>
  <si>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</si>
  <si>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</si>
  <si>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</si>
  <si>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</si>
  <si>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</si>
  <si>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</si>
  <si>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</si>
  <si>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</si>
  <si>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</si>
  <si>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</si>
  <si>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</si>
  <si>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Nakashi Cup</t>
  </si>
  <si>
    <t>Brno - Slatina</t>
  </si>
  <si>
    <t>SLOPE</t>
  </si>
  <si>
    <t>KLIP litovel</t>
  </si>
  <si>
    <t>Karlův jarní pohár</t>
  </si>
  <si>
    <t>Poděbrady</t>
  </si>
  <si>
    <t>Valšovice</t>
  </si>
  <si>
    <t>Náměšť na Hané</t>
  </si>
  <si>
    <t>Orlová</t>
  </si>
  <si>
    <t>MČR 1x1</t>
  </si>
  <si>
    <t>MČR 3x3</t>
  </si>
  <si>
    <t>Hartvíkovice</t>
  </si>
  <si>
    <t>O pohár města Brna - VARS Cup</t>
  </si>
  <si>
    <t>MČR 2x2</t>
  </si>
  <si>
    <t>Grand Prix Egrensis</t>
  </si>
  <si>
    <t>05.10.2013</t>
  </si>
  <si>
    <t>MEVA Cup</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</si>
  <si>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</si>
  <si>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</si>
  <si>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</si>
  <si>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</si>
  <si>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</si>
  <si>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</si>
  <si>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</si>
  <si>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</si>
  <si>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</si>
  <si>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</si>
  <si>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</si>
  <si>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</si>
  <si>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</si>
  <si>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</si>
  <si>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</si>
  <si>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</si>
  <si>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</si>
  <si>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</si>
  <si>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</si>
  <si>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</si>
  <si>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</si>
  <si>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</si>
  <si>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</si>
  <si>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</si>
  <si>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</si>
  <si>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</si>
  <si>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</si>
  <si>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</si>
  <si>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</si>
  <si>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</si>
  <si>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</si>
  <si>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</si>
  <si>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</si>
  <si>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</si>
  <si>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</si>
  <si>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</si>
  <si>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</si>
  <si>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</si>
  <si>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</si>
  <si>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</si>
  <si>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</si>
  <si>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</si>
  <si>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</si>
  <si>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</si>
  <si>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</si>
  <si>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</si>
  <si>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</si>
  <si>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</si>
  <si>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</si>
  <si>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</si>
  <si>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</si>
  <si>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</si>
  <si>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</si>
  <si>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</si>
  <si>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</si>
  <si>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</si>
  <si>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</si>
  <si>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</si>
  <si>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</si>
  <si>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</si>
  <si>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</si>
  <si>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</si>
  <si>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Kindl</t>
  </si>
  <si>
    <t>Ondruška</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</si>
  <si>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</si>
  <si>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</si>
  <si>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</si>
  <si>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Svědek - Světový den koulí</t>
  </si>
  <si>
    <t>05.03.2016</t>
  </si>
  <si>
    <t>Jarní Lipnické koule</t>
  </si>
  <si>
    <t>12.03.2016</t>
  </si>
  <si>
    <t>19.03.2016</t>
  </si>
  <si>
    <t>VC pivovaru LITOVEL</t>
  </si>
  <si>
    <t>02.04.2016</t>
  </si>
  <si>
    <t>Brno-Slatina</t>
  </si>
  <si>
    <t>Košonek Zdenka Vavroviče</t>
  </si>
  <si>
    <t>09.04.2016</t>
  </si>
  <si>
    <t>16.04.2016</t>
  </si>
  <si>
    <t>23.04.2016</t>
  </si>
  <si>
    <t>20. Prvomájové koule Barona Prášila</t>
  </si>
  <si>
    <t>30.04.2016</t>
  </si>
  <si>
    <t>SKP Hranice VI. - Valšovice</t>
  </si>
  <si>
    <t>Přístavní turnaj Piráta MČRgana</t>
  </si>
  <si>
    <t>01.05.2016</t>
  </si>
  <si>
    <t>Prvomájový Lipnický turnaj</t>
  </si>
  <si>
    <t>CENTROPE SLOVINSKO</t>
  </si>
  <si>
    <t>07.05.2016</t>
  </si>
  <si>
    <t>SLOVINSKO</t>
  </si>
  <si>
    <t>PC Ergensis</t>
  </si>
  <si>
    <t>Stolínský mixér</t>
  </si>
  <si>
    <t>Poděbradka Cup 2016</t>
  </si>
  <si>
    <t>Koule z Příhrádku</t>
  </si>
  <si>
    <t>08.05.2016</t>
  </si>
  <si>
    <t>Hrad Veveří</t>
  </si>
  <si>
    <t>14.05.2016</t>
  </si>
  <si>
    <t>Château Náměšť</t>
  </si>
  <si>
    <t>Kulový blesk</t>
  </si>
  <si>
    <t>MČR klubů</t>
  </si>
  <si>
    <t>15.05.2016</t>
  </si>
  <si>
    <t>CENTROPE ČESKO</t>
  </si>
  <si>
    <t>21.05.2016</t>
  </si>
  <si>
    <t>Liblice</t>
  </si>
  <si>
    <t>28.05.2016</t>
  </si>
  <si>
    <t>04.06.2016</t>
  </si>
  <si>
    <t>MČR ve střelbě na přesnost</t>
  </si>
  <si>
    <t>05.06.2016</t>
  </si>
  <si>
    <t>CENTROPE RAKOUSKO</t>
  </si>
  <si>
    <t>11.06.2016</t>
  </si>
  <si>
    <t>RAKOUSKO</t>
  </si>
  <si>
    <t>Turnaj generací</t>
  </si>
  <si>
    <t>Pepáčkovo koulení</t>
  </si>
  <si>
    <t>MČR 3x3 muži - kvalifikace na ME 2017</t>
  </si>
  <si>
    <t>18.06.2016</t>
  </si>
  <si>
    <t>25.06.2016</t>
  </si>
  <si>
    <t>Praha-Trója</t>
  </si>
  <si>
    <t>26.06.2016</t>
  </si>
  <si>
    <t>CENTROPE POLSKO</t>
  </si>
  <si>
    <t>02.07.2016</t>
  </si>
  <si>
    <t>POLSKO</t>
  </si>
  <si>
    <t>Vo Jarinovy koule 20. ročník</t>
  </si>
  <si>
    <t>O brněnskou kouli - XXI. ročník</t>
  </si>
  <si>
    <t>05.07.2016</t>
  </si>
  <si>
    <t>Ratišovice</t>
  </si>
  <si>
    <t>FŇÁKY Brno</t>
  </si>
  <si>
    <t>XX. Kolovská koule</t>
  </si>
  <si>
    <t>MČR 3x3 ženy - kvalifikace na MS 2017</t>
  </si>
  <si>
    <t>09.07.2016</t>
  </si>
  <si>
    <t>Memoriál CdP Loděnice</t>
  </si>
  <si>
    <t>16.07.2016</t>
  </si>
  <si>
    <t>Hanácký Master Cup - MIX</t>
  </si>
  <si>
    <t>Sokolovna Litovel</t>
  </si>
  <si>
    <t>Krumsínská HRODA</t>
  </si>
  <si>
    <t>HRODE Krumsín</t>
  </si>
  <si>
    <t>23.07.2016</t>
  </si>
  <si>
    <t>Grand prix d'Austerlitz</t>
  </si>
  <si>
    <t>Slavkov</t>
  </si>
  <si>
    <t>Stolínský křečák - memoriál Jaroslava Smoly - 20. ročník</t>
  </si>
  <si>
    <t>30.07.2016</t>
  </si>
  <si>
    <t>Grand prix Mariánských lázní</t>
  </si>
  <si>
    <t>Mariánské Lázně</t>
  </si>
  <si>
    <t>MČR 2x2 MIX</t>
  </si>
  <si>
    <t>06.08.2016</t>
  </si>
  <si>
    <t>GEKON - O křišťálovou tašku</t>
  </si>
  <si>
    <t>13.08.2016</t>
  </si>
  <si>
    <t>20.08.2016</t>
  </si>
  <si>
    <t>Přátelské koule</t>
  </si>
  <si>
    <t>21.08.2016</t>
  </si>
  <si>
    <t>Bowle 09 Klatovy</t>
  </si>
  <si>
    <t>CENTROPE SLOVENSKO</t>
  </si>
  <si>
    <t>27.08.2016</t>
  </si>
  <si>
    <t>SLOVENSKO</t>
  </si>
  <si>
    <t>O pohár Slavkovského lesa</t>
  </si>
  <si>
    <t>O Kořist z Mordové rokle</t>
  </si>
  <si>
    <t>03.09.2016</t>
  </si>
  <si>
    <t>04.09.2016</t>
  </si>
  <si>
    <t>MČR 55 PLUS</t>
  </si>
  <si>
    <t>10.09.2016</t>
  </si>
  <si>
    <t>CENTROPE MAĎARSKO</t>
  </si>
  <si>
    <t>17.09.2016</t>
  </si>
  <si>
    <t>MAĎARSKO</t>
  </si>
  <si>
    <t>Čerlinka CUP</t>
  </si>
  <si>
    <t>24.09.2016</t>
  </si>
  <si>
    <t>Kvalifikace MS 2017 2x2 muži</t>
  </si>
  <si>
    <t>Kvalifikace MS 2017 2x2 ženy</t>
  </si>
  <si>
    <t>28.09.2016</t>
  </si>
  <si>
    <t>01.10.2016</t>
  </si>
  <si>
    <t>Orlovský Kahan</t>
  </si>
  <si>
    <t>Podzimní Lipnické koule</t>
  </si>
  <si>
    <t>08.10.2016</t>
  </si>
  <si>
    <t>MČR klubů - finále</t>
  </si>
  <si>
    <t>09.10.2016</t>
  </si>
  <si>
    <t>15.10.2016</t>
  </si>
  <si>
    <t>Přebor KV a PLZ kraje - memoriál Mirka Valenty</t>
  </si>
  <si>
    <t>Koule z Aurory</t>
  </si>
  <si>
    <t>22.10.2016</t>
  </si>
  <si>
    <t>28.10.2016</t>
  </si>
  <si>
    <t>TOP 100 VTN</t>
  </si>
  <si>
    <t>29.10.2016</t>
  </si>
  <si>
    <t>05.11.2016</t>
  </si>
  <si>
    <t>12.11.2016</t>
  </si>
  <si>
    <t>21. Přimrzlé koule</t>
  </si>
  <si>
    <t>03.12.2016</t>
  </si>
  <si>
    <t>26.12.2016</t>
  </si>
  <si>
    <t>Aiznerová</t>
  </si>
  <si>
    <t>Balík</t>
  </si>
  <si>
    <t>Petank Club Praha</t>
  </si>
  <si>
    <t>Bayer Kamarádová</t>
  </si>
  <si>
    <t>Bačo</t>
  </si>
  <si>
    <t>Benešová</t>
  </si>
  <si>
    <t>SK Španielka Řepy</t>
  </si>
  <si>
    <t>Benčík</t>
  </si>
  <si>
    <t>PK Sezemice</t>
  </si>
  <si>
    <t>Blažková</t>
  </si>
  <si>
    <t>Boubínová</t>
  </si>
  <si>
    <t>Bozděch</t>
  </si>
  <si>
    <t>CP Vary</t>
  </si>
  <si>
    <t>Bozděchová</t>
  </si>
  <si>
    <t>Bořánek</t>
  </si>
  <si>
    <t>Brandýský</t>
  </si>
  <si>
    <t>Braunová</t>
  </si>
  <si>
    <t>Brdíčko</t>
  </si>
  <si>
    <t>Orel Řečkovice</t>
  </si>
  <si>
    <t>Brichta</t>
  </si>
  <si>
    <t>Brinzík</t>
  </si>
  <si>
    <t>Štefan</t>
  </si>
  <si>
    <t>Buchta</t>
  </si>
  <si>
    <t>Buchtele</t>
  </si>
  <si>
    <t>Petr St.</t>
  </si>
  <si>
    <t>Bukalová</t>
  </si>
  <si>
    <t>Burandová</t>
  </si>
  <si>
    <t>Nikola</t>
  </si>
  <si>
    <t>Chocholouš</t>
  </si>
  <si>
    <t>Christovová</t>
  </si>
  <si>
    <t>Chvátalová</t>
  </si>
  <si>
    <t>Cimala</t>
  </si>
  <si>
    <t>Cimrman Formánková</t>
  </si>
  <si>
    <t>Csibrei</t>
  </si>
  <si>
    <t>Sokol Staříč</t>
  </si>
  <si>
    <t>Defer</t>
  </si>
  <si>
    <t>Thierry</t>
  </si>
  <si>
    <t>Doubrava</t>
  </si>
  <si>
    <t>Douděrová</t>
  </si>
  <si>
    <t>Bohuslava</t>
  </si>
  <si>
    <t>Drahovzal</t>
  </si>
  <si>
    <t>Dušáková</t>
  </si>
  <si>
    <t>Hedvika</t>
  </si>
  <si>
    <t>Dřevojan</t>
  </si>
  <si>
    <t>Egermayer</t>
  </si>
  <si>
    <t>PC LEAP</t>
  </si>
  <si>
    <t>Stanislav ml.</t>
  </si>
  <si>
    <t>Fedor</t>
  </si>
  <si>
    <t>Forejtarová</t>
  </si>
  <si>
    <t>Formánek</t>
  </si>
  <si>
    <t>Forstová</t>
  </si>
  <si>
    <t>Froňková</t>
  </si>
  <si>
    <t>Fryš</t>
  </si>
  <si>
    <t>Fára</t>
  </si>
  <si>
    <t>Fárová</t>
  </si>
  <si>
    <t>Gardáš</t>
  </si>
  <si>
    <t>Gazdová</t>
  </si>
  <si>
    <t>Gazdíková</t>
  </si>
  <si>
    <t>Gerle</t>
  </si>
  <si>
    <t>Gruberová</t>
  </si>
  <si>
    <t>Gröschl</t>
  </si>
  <si>
    <t>Górski</t>
  </si>
  <si>
    <t>Pawel</t>
  </si>
  <si>
    <t>Handl</t>
  </si>
  <si>
    <t>Hanuš</t>
  </si>
  <si>
    <t>Hanč</t>
  </si>
  <si>
    <t>Havel</t>
  </si>
  <si>
    <t>Hejnic</t>
  </si>
  <si>
    <t>Hejnicová</t>
  </si>
  <si>
    <t>Hercoková</t>
  </si>
  <si>
    <t>Milena</t>
  </si>
  <si>
    <t>Sokol Kostomlaty</t>
  </si>
  <si>
    <t>Hladík</t>
  </si>
  <si>
    <t>Hladíková</t>
  </si>
  <si>
    <t>Hledík</t>
  </si>
  <si>
    <t>Hledíková</t>
  </si>
  <si>
    <t>Hodboďová</t>
  </si>
  <si>
    <t>Holoubek</t>
  </si>
  <si>
    <t>Homolková</t>
  </si>
  <si>
    <t>Horálek</t>
  </si>
  <si>
    <t>Houžka</t>
  </si>
  <si>
    <t>Hošková</t>
  </si>
  <si>
    <t>Yvetta</t>
  </si>
  <si>
    <t>Hrotík</t>
  </si>
  <si>
    <t>Igor</t>
  </si>
  <si>
    <t>Hruška</t>
  </si>
  <si>
    <t>Hudos</t>
  </si>
  <si>
    <t>Hutáková</t>
  </si>
  <si>
    <t>Hykl</t>
  </si>
  <si>
    <t>Spolek Park Grébovka</t>
  </si>
  <si>
    <t>Emilie</t>
  </si>
  <si>
    <t>Hůrek</t>
  </si>
  <si>
    <t>Hůrka</t>
  </si>
  <si>
    <t>Hůrková</t>
  </si>
  <si>
    <t>Jindra</t>
  </si>
  <si>
    <t>Jablonský</t>
  </si>
  <si>
    <t>Jagoš</t>
  </si>
  <si>
    <t>Jankovský</t>
  </si>
  <si>
    <t>Janoš</t>
  </si>
  <si>
    <t>Vladislav St.</t>
  </si>
  <si>
    <t>Jeřábková</t>
  </si>
  <si>
    <t>Jiroušek</t>
  </si>
  <si>
    <t>Johnová</t>
  </si>
  <si>
    <t>Jonášová</t>
  </si>
  <si>
    <t>Jurčičková</t>
  </si>
  <si>
    <t>Jílek</t>
  </si>
  <si>
    <t>Kalianko</t>
  </si>
  <si>
    <t>Karban</t>
  </si>
  <si>
    <t>Kašparová</t>
  </si>
  <si>
    <t>Ketman</t>
  </si>
  <si>
    <t>Vlastimil</t>
  </si>
  <si>
    <t>Kikalová</t>
  </si>
  <si>
    <t>Klouda</t>
  </si>
  <si>
    <t>Kloudová</t>
  </si>
  <si>
    <t>Klír</t>
  </si>
  <si>
    <t>Koblihová</t>
  </si>
  <si>
    <t>Kocián</t>
  </si>
  <si>
    <t>Kohutová</t>
  </si>
  <si>
    <t>Kolaříková</t>
  </si>
  <si>
    <t>Josefína</t>
  </si>
  <si>
    <t>Komínková</t>
  </si>
  <si>
    <t>Končeková</t>
  </si>
  <si>
    <t>Zdena</t>
  </si>
  <si>
    <t>Korselt</t>
  </si>
  <si>
    <t>Kot</t>
  </si>
  <si>
    <t>Kotová</t>
  </si>
  <si>
    <t>Kousalová</t>
  </si>
  <si>
    <t>Kovářová</t>
  </si>
  <si>
    <t>Kočandrle</t>
  </si>
  <si>
    <t>Kočová</t>
  </si>
  <si>
    <t>Magda</t>
  </si>
  <si>
    <t>Kremlík</t>
  </si>
  <si>
    <t>Krupica</t>
  </si>
  <si>
    <t>Krupicová</t>
  </si>
  <si>
    <t>Krystková</t>
  </si>
  <si>
    <t>Krčková</t>
  </si>
  <si>
    <t>Kubát</t>
  </si>
  <si>
    <t>Kunert</t>
  </si>
  <si>
    <t>Lachman</t>
  </si>
  <si>
    <t>Patr</t>
  </si>
  <si>
    <t>Lacko</t>
  </si>
  <si>
    <t>Matúš</t>
  </si>
  <si>
    <t>Leistnerová</t>
  </si>
  <si>
    <t>Lelek</t>
  </si>
  <si>
    <t>Lhoták</t>
  </si>
  <si>
    <t>PLUK Jablonec</t>
  </si>
  <si>
    <t>Lux-Šatrová</t>
  </si>
  <si>
    <t>Macek</t>
  </si>
  <si>
    <t>Macháčková</t>
  </si>
  <si>
    <t>Majer</t>
  </si>
  <si>
    <t>Majerová</t>
  </si>
  <si>
    <t>Malý</t>
  </si>
  <si>
    <t>Matějka</t>
  </si>
  <si>
    <t>Melen</t>
  </si>
  <si>
    <t>Mifka</t>
  </si>
  <si>
    <t>Mikyška</t>
  </si>
  <si>
    <t>Tereza</t>
  </si>
  <si>
    <t>Morávek</t>
  </si>
  <si>
    <t>Mour</t>
  </si>
  <si>
    <t>Mrowiec</t>
  </si>
  <si>
    <t>Müllerová</t>
  </si>
  <si>
    <t>Mýl</t>
  </si>
  <si>
    <t>Nacu</t>
  </si>
  <si>
    <t>Romain</t>
  </si>
  <si>
    <t>Nepomucký</t>
  </si>
  <si>
    <t>Neprašová</t>
  </si>
  <si>
    <t>Novotná</t>
  </si>
  <si>
    <t>Němcová</t>
  </si>
  <si>
    <t>Ondryášová</t>
  </si>
  <si>
    <t>Nika</t>
  </si>
  <si>
    <t>Palas</t>
  </si>
  <si>
    <t>Palicová</t>
  </si>
  <si>
    <t>Pastorek</t>
  </si>
  <si>
    <t>Pastorková</t>
  </si>
  <si>
    <t>Paterová</t>
  </si>
  <si>
    <t>Paur</t>
  </si>
  <si>
    <t>Pavlů</t>
  </si>
  <si>
    <t>Pejsar</t>
  </si>
  <si>
    <t>Pflimpflová</t>
  </si>
  <si>
    <t>Prajer</t>
  </si>
  <si>
    <t>Procházka</t>
  </si>
  <si>
    <t>Provazníková</t>
  </si>
  <si>
    <t>Průcha</t>
  </si>
  <si>
    <t>Ptáček</t>
  </si>
  <si>
    <t>Rendek</t>
  </si>
  <si>
    <t>Rodková</t>
  </si>
  <si>
    <t>Rottenborn</t>
  </si>
  <si>
    <t>Rovný</t>
  </si>
  <si>
    <t>Rozsypalová</t>
  </si>
  <si>
    <t>Rybář</t>
  </si>
  <si>
    <t>Valerija</t>
  </si>
  <si>
    <t>Salva</t>
  </si>
  <si>
    <t>Satranská</t>
  </si>
  <si>
    <t>Satranský</t>
  </si>
  <si>
    <t>Schneider</t>
  </si>
  <si>
    <t>Semotam</t>
  </si>
  <si>
    <t>Skala</t>
  </si>
  <si>
    <t>Skopal</t>
  </si>
  <si>
    <t>Skuhrovec</t>
  </si>
  <si>
    <t>Slezák</t>
  </si>
  <si>
    <t>Smieško</t>
  </si>
  <si>
    <t>Smělý</t>
  </si>
  <si>
    <t>Sojková</t>
  </si>
  <si>
    <t>Soukup</t>
  </si>
  <si>
    <t>Soukupová</t>
  </si>
  <si>
    <t>Spilková Hledíková</t>
  </si>
  <si>
    <t>Staněk</t>
  </si>
  <si>
    <t>Straková</t>
  </si>
  <si>
    <t>Jaruška</t>
  </si>
  <si>
    <t>Svatošová</t>
  </si>
  <si>
    <t>Szitányiová</t>
  </si>
  <si>
    <t>Tesařová</t>
  </si>
  <si>
    <t>Tintěrová</t>
  </si>
  <si>
    <t>Titěrová</t>
  </si>
  <si>
    <t>Tomášek</t>
  </si>
  <si>
    <t>Tourek</t>
  </si>
  <si>
    <t>Tupá</t>
  </si>
  <si>
    <t>Tymeš ml.</t>
  </si>
  <si>
    <t>Ulmann</t>
  </si>
  <si>
    <t>Vais</t>
  </si>
  <si>
    <t>Valčík</t>
  </si>
  <si>
    <t>Vaněk</t>
  </si>
  <si>
    <t>Dominik</t>
  </si>
  <si>
    <t>Petr ml.</t>
  </si>
  <si>
    <t>Petr st.</t>
  </si>
  <si>
    <t>Vaňková</t>
  </si>
  <si>
    <t>Zhi Jing</t>
  </si>
  <si>
    <t>Vedral</t>
  </si>
  <si>
    <t>Vedralová</t>
  </si>
  <si>
    <t>Vicari</t>
  </si>
  <si>
    <t>Savino</t>
  </si>
  <si>
    <t>Vinter</t>
  </si>
  <si>
    <t>Vondrouš</t>
  </si>
  <si>
    <t>Vorel</t>
  </si>
  <si>
    <t>Voňka</t>
  </si>
  <si>
    <t>Voříšek</t>
  </si>
  <si>
    <t>Vyoral</t>
  </si>
  <si>
    <t>Hynek</t>
  </si>
  <si>
    <t>Vápeníková</t>
  </si>
  <si>
    <t>Růženka</t>
  </si>
  <si>
    <t>Vérosta</t>
  </si>
  <si>
    <t>Warzecha</t>
  </si>
  <si>
    <t>Weinberger</t>
  </si>
  <si>
    <t>Michal ml.</t>
  </si>
  <si>
    <t>Zálešák</t>
  </si>
  <si>
    <t>Jitka ml.</t>
  </si>
  <si>
    <t>Šašek</t>
  </si>
  <si>
    <t>Šedivý</t>
  </si>
  <si>
    <t>Šildberger</t>
  </si>
  <si>
    <t>Šimara</t>
  </si>
  <si>
    <t>Matěj</t>
  </si>
  <si>
    <t>Šimková</t>
  </si>
  <si>
    <t>Michala</t>
  </si>
  <si>
    <t>Škorničková</t>
  </si>
  <si>
    <t>Šlamborová</t>
  </si>
  <si>
    <t>Šlapanský</t>
  </si>
  <si>
    <t>Luboš St.</t>
  </si>
  <si>
    <t>Šmic</t>
  </si>
  <si>
    <t>Šolc</t>
  </si>
  <si>
    <t>Šoltysová</t>
  </si>
  <si>
    <t>Šorm</t>
  </si>
  <si>
    <t>Šormová</t>
  </si>
  <si>
    <t>Šplechtová</t>
  </si>
  <si>
    <t>Šponer</t>
  </si>
  <si>
    <t>Štrosnerová</t>
  </si>
  <si>
    <t>Šuba</t>
  </si>
  <si>
    <t>Šulcová</t>
  </si>
  <si>
    <t>Šupol</t>
  </si>
  <si>
    <t>Švecová</t>
  </si>
  <si>
    <t>Žárský</t>
  </si>
  <si>
    <t>Čanda</t>
  </si>
  <si>
    <t>Čaněk</t>
  </si>
  <si>
    <t>Čaňková</t>
  </si>
  <si>
    <t>Červenková</t>
  </si>
  <si>
    <t>Čížek</t>
  </si>
  <si>
    <t>Řezník</t>
  </si>
  <si>
    <t>Alois</t>
  </si>
  <si>
    <t>Řezníková</t>
  </si>
  <si>
    <t>Řezáčová</t>
  </si>
  <si>
    <t>Svatava</t>
  </si>
  <si>
    <t>GOLDEN PRAGUE CUP</t>
  </si>
  <si>
    <t>Bubeníková</t>
  </si>
  <si>
    <t>Cheikh</t>
  </si>
  <si>
    <t>Alaeddine</t>
  </si>
  <si>
    <t>Chmelařová</t>
  </si>
  <si>
    <t>Fitzner</t>
  </si>
  <si>
    <t>Havlátová</t>
  </si>
  <si>
    <t>Janeček</t>
  </si>
  <si>
    <t>Kernerová</t>
  </si>
  <si>
    <t>Robin</t>
  </si>
  <si>
    <t>Kovačičová</t>
  </si>
  <si>
    <t>Krejčířová</t>
  </si>
  <si>
    <t>Marková</t>
  </si>
  <si>
    <t>Johana</t>
  </si>
  <si>
    <t>Merta</t>
  </si>
  <si>
    <t>Jáchym</t>
  </si>
  <si>
    <t>Mertová</t>
  </si>
  <si>
    <t>Anežka</t>
  </si>
  <si>
    <t>Müller</t>
  </si>
  <si>
    <t>Němeček</t>
  </si>
  <si>
    <t>Nývlt</t>
  </si>
  <si>
    <t>Pražáková</t>
  </si>
  <si>
    <t>Rod</t>
  </si>
  <si>
    <t>Rodová</t>
  </si>
  <si>
    <t>Sjögren</t>
  </si>
  <si>
    <t>Smolová</t>
  </si>
  <si>
    <t>Strouhalová</t>
  </si>
  <si>
    <t>Terezie</t>
  </si>
  <si>
    <t>Studníková</t>
  </si>
  <si>
    <t>Agáta</t>
  </si>
  <si>
    <t>Zbořilová</t>
  </si>
  <si>
    <t>Šlezarová</t>
  </si>
  <si>
    <t>Počet přihlášených týmů: 52</t>
  </si>
  <si>
    <t>regionál</t>
  </si>
  <si>
    <t>Pořádá CdP Loděnice</t>
  </si>
  <si>
    <t>•• dvojice</t>
  </si>
  <si>
    <t>Č. licence</t>
  </si>
  <si>
    <t>Příjmení a jméno Odhlásit tým</t>
  </si>
  <si>
    <t>Síla: 81.625</t>
  </si>
  <si>
    <t>Petr Morávek</t>
  </si>
  <si>
    <t>48.750</t>
  </si>
  <si>
    <t>Jiří Ondryáš</t>
  </si>
  <si>
    <t>32.875</t>
  </si>
  <si>
    <t>Síla: 79.5</t>
  </si>
  <si>
    <t>Petr Fafek</t>
  </si>
  <si>
    <t>Jaroslav Hladký</t>
  </si>
  <si>
    <t>30.750</t>
  </si>
  <si>
    <t>Síla: 77.438</t>
  </si>
  <si>
    <t>Tomáš Klír</t>
  </si>
  <si>
    <t>38.313</t>
  </si>
  <si>
    <t>Petr Fuksa</t>
  </si>
  <si>
    <t>39.125</t>
  </si>
  <si>
    <t>Síla: 77.375</t>
  </si>
  <si>
    <t>Vladimír Brázda</t>
  </si>
  <si>
    <t>36.000</t>
  </si>
  <si>
    <t>Michal Preuss</t>
  </si>
  <si>
    <t>41.375</t>
  </si>
  <si>
    <t>Síla: 72.5</t>
  </si>
  <si>
    <t>Jan Valenz</t>
  </si>
  <si>
    <t>38.500</t>
  </si>
  <si>
    <t>Jana Radoušová</t>
  </si>
  <si>
    <t>34.000</t>
  </si>
  <si>
    <t>Síla: 68.656</t>
  </si>
  <si>
    <t>Jiřina Demčíková</t>
  </si>
  <si>
    <t>39.500</t>
  </si>
  <si>
    <t>Dana Tomášková</t>
  </si>
  <si>
    <t>29.156</t>
  </si>
  <si>
    <t>Síla: 62.5</t>
  </si>
  <si>
    <t>Ivo Kacerovský</t>
  </si>
  <si>
    <t>32.000</t>
  </si>
  <si>
    <t>Miroslav Beránek</t>
  </si>
  <si>
    <t>30.500</t>
  </si>
  <si>
    <t>Síla: 56.25</t>
  </si>
  <si>
    <t>Petr Mrázek</t>
  </si>
  <si>
    <t>27.625</t>
  </si>
  <si>
    <t>Jiří Froněk</t>
  </si>
  <si>
    <t>28.625</t>
  </si>
  <si>
    <t>Síla: 53.096</t>
  </si>
  <si>
    <t>Václav Mráz</t>
  </si>
  <si>
    <t>28.876</t>
  </si>
  <si>
    <t>Adéla Špiclová</t>
  </si>
  <si>
    <t>24.220</t>
  </si>
  <si>
    <t>Síla: 52.626</t>
  </si>
  <si>
    <t>Petr Plucar</t>
  </si>
  <si>
    <t>27.063</t>
  </si>
  <si>
    <t>Lenka Plucarová</t>
  </si>
  <si>
    <t>25.563</t>
  </si>
  <si>
    <t>Síla: 51.127</t>
  </si>
  <si>
    <t>Blanka Froňková</t>
  </si>
  <si>
    <t>21.939</t>
  </si>
  <si>
    <t>Rubi Gorroňo López</t>
  </si>
  <si>
    <t>29.188</t>
  </si>
  <si>
    <t>Síla: 49.252</t>
  </si>
  <si>
    <t>Jan Marhoul</t>
  </si>
  <si>
    <t>37.375</t>
  </si>
  <si>
    <t>Jakub Paur "J"</t>
  </si>
  <si>
    <t>11.877</t>
  </si>
  <si>
    <t>Síla: 48.533</t>
  </si>
  <si>
    <t>Jana Fafková</t>
  </si>
  <si>
    <t>25.094</t>
  </si>
  <si>
    <t>Tomáš Jirkovský</t>
  </si>
  <si>
    <t>23.439</t>
  </si>
  <si>
    <t>Síla: 46.816</t>
  </si>
  <si>
    <t>Rudolf Vaníček</t>
  </si>
  <si>
    <t>16.252</t>
  </si>
  <si>
    <t>Alena Vaníčková</t>
  </si>
  <si>
    <t>30.564</t>
  </si>
  <si>
    <t>Síla: 41.754</t>
  </si>
  <si>
    <t>Miloslav Zátka</t>
  </si>
  <si>
    <t>21.033</t>
  </si>
  <si>
    <t>Hana Mitkovová</t>
  </si>
  <si>
    <t>20.721</t>
  </si>
  <si>
    <t>Síla: 41.031</t>
  </si>
  <si>
    <t>Jaroslav Felčárek</t>
  </si>
  <si>
    <t>27.250</t>
  </si>
  <si>
    <t>Margita Malá</t>
  </si>
  <si>
    <t>13.781</t>
  </si>
  <si>
    <t>Síla: 40.932</t>
  </si>
  <si>
    <t>Hynek Vyoral</t>
  </si>
  <si>
    <t>26.251</t>
  </si>
  <si>
    <t>Dana Šplechtová</t>
  </si>
  <si>
    <t>14.681</t>
  </si>
  <si>
    <t>Síla: 40.316</t>
  </si>
  <si>
    <t>Ivo Chmelař</t>
  </si>
  <si>
    <t>21.127</t>
  </si>
  <si>
    <t>Yvetta Hrabánková</t>
  </si>
  <si>
    <t>19.189</t>
  </si>
  <si>
    <t>Síla: 39.885</t>
  </si>
  <si>
    <t>Jan Vorel "J"</t>
  </si>
  <si>
    <t>26.781</t>
  </si>
  <si>
    <t>Michal Čížek</t>
  </si>
  <si>
    <t>13.104</t>
  </si>
  <si>
    <t>Síla: 38.409</t>
  </si>
  <si>
    <t>Ivana Dlouhá</t>
  </si>
  <si>
    <t>19.533</t>
  </si>
  <si>
    <t>Josef Kamaryt</t>
  </si>
  <si>
    <t>18.876</t>
  </si>
  <si>
    <t>Síla: 38.345</t>
  </si>
  <si>
    <t>Jaroslav Kubík</t>
  </si>
  <si>
    <t>22.173</t>
  </si>
  <si>
    <t>Michal Kuchař</t>
  </si>
  <si>
    <t>16.172</t>
  </si>
  <si>
    <t>Síla: 35.72</t>
  </si>
  <si>
    <t>Pavel Palas</t>
  </si>
  <si>
    <t>18.329</t>
  </si>
  <si>
    <t>Jindřich Horáček</t>
  </si>
  <si>
    <t>17.391</t>
  </si>
  <si>
    <t>Síla: 34.876</t>
  </si>
  <si>
    <t>Kateřina Vedralová</t>
  </si>
  <si>
    <t>17.782</t>
  </si>
  <si>
    <t>Radim Nagy</t>
  </si>
  <si>
    <t>17.094</t>
  </si>
  <si>
    <t>Síla: 33.83</t>
  </si>
  <si>
    <t>Jiří Čermák</t>
  </si>
  <si>
    <t>6.486</t>
  </si>
  <si>
    <t>Karel Koňák</t>
  </si>
  <si>
    <t>27.344</t>
  </si>
  <si>
    <t>Síla: 32.025</t>
  </si>
  <si>
    <t>Milan Špitálský</t>
  </si>
  <si>
    <t>17.751</t>
  </si>
  <si>
    <t>Eva Mrázová</t>
  </si>
  <si>
    <t>14.274</t>
  </si>
  <si>
    <t>Síla: 27.784</t>
  </si>
  <si>
    <t>Jaroslav Lhoták</t>
  </si>
  <si>
    <t>14.596</t>
  </si>
  <si>
    <t>Hedvika Dušáková</t>
  </si>
  <si>
    <t>13.188</t>
  </si>
  <si>
    <t>Síla: 26.443</t>
  </si>
  <si>
    <t>Milena Hercoková</t>
  </si>
  <si>
    <t>13.534</t>
  </si>
  <si>
    <t>Marie Müllerová</t>
  </si>
  <si>
    <t>12.909</t>
  </si>
  <si>
    <t>Síla: 24.953</t>
  </si>
  <si>
    <t>Leander Leiský</t>
  </si>
  <si>
    <t>22.953</t>
  </si>
  <si>
    <t>Alaeddine Cheikh</t>
  </si>
  <si>
    <t>2.000</t>
  </si>
  <si>
    <t>Síla: 22.9</t>
  </si>
  <si>
    <t>Václav Slapnička</t>
  </si>
  <si>
    <t>12.500</t>
  </si>
  <si>
    <t>Ivana Lenhartová</t>
  </si>
  <si>
    <t>10.400</t>
  </si>
  <si>
    <t>Síla: 21.401</t>
  </si>
  <si>
    <t>Ema Koudelková</t>
  </si>
  <si>
    <t>11.150</t>
  </si>
  <si>
    <t>Ivana Horálková</t>
  </si>
  <si>
    <t>10.251</t>
  </si>
  <si>
    <t>Síla: 20.354</t>
  </si>
  <si>
    <t>Vendula Boubínová</t>
  </si>
  <si>
    <t>14.767</t>
  </si>
  <si>
    <t>Blanka Bubeníková</t>
  </si>
  <si>
    <t>5.587</t>
  </si>
  <si>
    <t>Síla: 19.626</t>
  </si>
  <si>
    <t>Petr Pilát</t>
  </si>
  <si>
    <t>19.626</t>
  </si>
  <si>
    <t>hledám 775114015</t>
  </si>
  <si>
    <t>  </t>
  </si>
  <si>
    <t>Síla: 19.564</t>
  </si>
  <si>
    <t>Stanislav Fatka Ml.</t>
  </si>
  <si>
    <t>6.282</t>
  </si>
  <si>
    <t>Jan Paták</t>
  </si>
  <si>
    <t>13.282</t>
  </si>
  <si>
    <t>Síla: 15.878</t>
  </si>
  <si>
    <t>Milan Bayer</t>
  </si>
  <si>
    <t>8.408</t>
  </si>
  <si>
    <t>Hana Bayerová</t>
  </si>
  <si>
    <t>7.470</t>
  </si>
  <si>
    <t>Síla: 15.86</t>
  </si>
  <si>
    <t>Jaroslav Nepomucký</t>
  </si>
  <si>
    <t>7.368</t>
  </si>
  <si>
    <t>Tomáš Čermák</t>
  </si>
  <si>
    <t>8.492</t>
  </si>
  <si>
    <t>Síla: 15.675</t>
  </si>
  <si>
    <t>Alexandra Pflimpflová</t>
  </si>
  <si>
    <t>14.831</t>
  </si>
  <si>
    <t>Vladimír Hobža</t>
  </si>
  <si>
    <t>0.844</t>
  </si>
  <si>
    <t>Síla: 14.718</t>
  </si>
  <si>
    <t>Daniel Moos</t>
  </si>
  <si>
    <t>8.281</t>
  </si>
  <si>
    <t>Zdeněk Smieško</t>
  </si>
  <si>
    <t>6.437</t>
  </si>
  <si>
    <t>Síla: 14.181</t>
  </si>
  <si>
    <t>Petr Stejskal</t>
  </si>
  <si>
    <t>12.196</t>
  </si>
  <si>
    <t>Václav Stejskal</t>
  </si>
  <si>
    <t>1.985</t>
  </si>
  <si>
    <t>Síla: 14.156</t>
  </si>
  <si>
    <t>Vladimír Glaser</t>
  </si>
  <si>
    <t>7.828</t>
  </si>
  <si>
    <t>Dana Glaserová</t>
  </si>
  <si>
    <t>6.328</t>
  </si>
  <si>
    <t>Síla: 14.08</t>
  </si>
  <si>
    <t>Helena Fárová</t>
  </si>
  <si>
    <t>8.212</t>
  </si>
  <si>
    <t>Jindřich Fára</t>
  </si>
  <si>
    <t>5.868</t>
  </si>
  <si>
    <t>Síla: 12.439</t>
  </si>
  <si>
    <t>Jiří Janoš</t>
  </si>
  <si>
    <t>12.439</t>
  </si>
  <si>
    <t>Stanislav Fatka st.</t>
  </si>
  <si>
    <t>Síla: 12.407</t>
  </si>
  <si>
    <t>Josef Procházka</t>
  </si>
  <si>
    <t>SKP Španielka Řepy</t>
  </si>
  <si>
    <t>5.102</t>
  </si>
  <si>
    <t>Miroslav Ptáček</t>
  </si>
  <si>
    <t>7.305</t>
  </si>
  <si>
    <t>Síla: 9.274</t>
  </si>
  <si>
    <t>Pavel Holoubek</t>
  </si>
  <si>
    <t>6.305</t>
  </si>
  <si>
    <t>Jaroslav Hladík</t>
  </si>
  <si>
    <t>2.969</t>
  </si>
  <si>
    <t>Síla: 8.438</t>
  </si>
  <si>
    <t>Martin Vais</t>
  </si>
  <si>
    <t>Tomáš Kunc</t>
  </si>
  <si>
    <t>5.469</t>
  </si>
  <si>
    <t>Síla: 8.282</t>
  </si>
  <si>
    <t>Miroslav Kremlík</t>
  </si>
  <si>
    <t>7.282</t>
  </si>
  <si>
    <t>Luboš Hykl</t>
  </si>
  <si>
    <t>1.000</t>
  </si>
  <si>
    <t>Síla: 6.628</t>
  </si>
  <si>
    <t>Petr Hytych</t>
  </si>
  <si>
    <t>4.502</t>
  </si>
  <si>
    <t>Martin Fatka</t>
  </si>
  <si>
    <t>2.126</t>
  </si>
  <si>
    <t>Síla: 3.828</t>
  </si>
  <si>
    <t>Irena Soukupová</t>
  </si>
  <si>
    <t>3.828</t>
  </si>
  <si>
    <t>Agáta Studníková</t>
  </si>
  <si>
    <t>0.000</t>
  </si>
  <si>
    <t>Síla: 2.876</t>
  </si>
  <si>
    <t>Jaroslav Pastorek</t>
  </si>
  <si>
    <t>2.563</t>
  </si>
  <si>
    <t>Jiřina Gazdíková</t>
  </si>
  <si>
    <t>0.313</t>
  </si>
  <si>
    <t>Síla: 2.547</t>
  </si>
  <si>
    <t>Alois Řezník</t>
  </si>
  <si>
    <t>1.594</t>
  </si>
  <si>
    <t>Marie Řezníková</t>
  </si>
  <si>
    <t>0.953</t>
  </si>
  <si>
    <t>Síla: 0.766</t>
  </si>
  <si>
    <t>Radovan Čaněk</t>
  </si>
  <si>
    <t>Eva Hladíková</t>
  </si>
  <si>
    <t>0.766</t>
  </si>
  <si>
    <t>Síla: 0.656</t>
  </si>
  <si>
    <t>Pavel Tyrol</t>
  </si>
  <si>
    <t>0.656</t>
  </si>
  <si>
    <t>Tereza Toncarová</t>
  </si>
  <si>
    <t>Síla: 0</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</si>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</sst>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6"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sz val="13.5"/>
      <color indexed="9"/>
      <name val="Comic Sans MS"/>
      <family val="4"/>
    </font>
    <font>
      <b/>
      <sz val="13.5"/>
      <color indexed="9"/>
      <name val="Comic Sans MS"/>
      <family val="4"/>
    </font>
    <font>
      <b/>
      <sz val="18"/>
      <name val="Comic Sans MS"/>
      <family val="4"/>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i/>
      <sz val="8"/>
      <name val="Comic Sans MS"/>
      <family val="4"/>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63"/>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95">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5" fillId="12" borderId="0" xfId="0" applyFont="1" applyFill="1" applyAlignment="1">
      <alignment wrapText="1"/>
    </xf>
    <xf numFmtId="0" fontId="66" fillId="12" borderId="0" xfId="0" applyFont="1" applyFill="1" applyAlignment="1">
      <alignment wrapText="1"/>
    </xf>
    <xf numFmtId="0" fontId="0" fillId="13" borderId="0" xfId="0" applyFill="1" applyAlignment="1">
      <alignment wrapText="1"/>
    </xf>
    <xf numFmtId="0" fontId="64" fillId="13" borderId="0" xfId="0" applyFont="1" applyFill="1" applyAlignment="1">
      <alignment wrapText="1"/>
    </xf>
    <xf numFmtId="0" fontId="64" fillId="14" borderId="0" xfId="0" applyFont="1" applyFill="1" applyAlignment="1">
      <alignment wrapText="1"/>
    </xf>
    <xf numFmtId="0" fontId="68" fillId="14"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5" borderId="0" xfId="0" applyFill="1"/>
    <xf numFmtId="1" fontId="0" fillId="4" borderId="3" xfId="0" applyNumberFormat="1" applyFill="1" applyBorder="1"/>
    <xf numFmtId="0" fontId="0" fillId="4" borderId="3" xfId="0" applyFill="1" applyBorder="1"/>
    <xf numFmtId="0" fontId="70"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67" fillId="13" borderId="0" xfId="0" applyFont="1" applyFill="1" applyAlignment="1">
      <alignment wrapText="1"/>
    </xf>
    <xf numFmtId="0" fontId="0" fillId="13" borderId="0" xfId="0" applyFill="1" applyAlignment="1">
      <alignment horizontal="center" wrapText="1"/>
    </xf>
    <xf numFmtId="0" fontId="0" fillId="13" borderId="0" xfId="0" applyFill="1" applyAlignment="1"/>
    <xf numFmtId="0" fontId="4" fillId="13" borderId="0" xfId="0" applyFont="1" applyFill="1" applyAlignment="1">
      <alignment wrapText="1"/>
    </xf>
    <xf numFmtId="0" fontId="4" fillId="0" borderId="0" xfId="0" applyFont="1" applyProtection="1">
      <protection locked="0"/>
    </xf>
    <xf numFmtId="0" fontId="9" fillId="5" borderId="0" xfId="0" applyFont="1" applyFill="1"/>
    <xf numFmtId="0" fontId="71"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6"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9"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3" borderId="3" xfId="0" applyFill="1" applyBorder="1" applyAlignment="1" applyProtection="1">
      <alignment horizontal="center"/>
      <protection hidden="1"/>
    </xf>
    <xf numFmtId="0" fontId="0" fillId="17" borderId="3" xfId="0" applyFill="1" applyBorder="1" applyAlignment="1" applyProtection="1">
      <alignment horizontal="center"/>
      <protection hidden="1"/>
    </xf>
    <xf numFmtId="0" fontId="18" fillId="14" borderId="4" xfId="0" applyFont="1" applyFill="1" applyBorder="1" applyAlignment="1" applyProtection="1">
      <alignment horizontal="center" vertical="center"/>
      <protection hidden="1"/>
    </xf>
    <xf numFmtId="0" fontId="18" fillId="14"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3" borderId="40" xfId="0" applyFont="1" applyFill="1" applyBorder="1" applyAlignment="1" applyProtection="1">
      <alignment horizontal="center" vertical="center"/>
      <protection hidden="1"/>
    </xf>
    <xf numFmtId="0" fontId="18" fillId="13" borderId="5" xfId="0" applyFont="1" applyFill="1" applyBorder="1" applyAlignment="1" applyProtection="1">
      <alignment horizontal="center" vertical="center"/>
      <protection hidden="1"/>
    </xf>
    <xf numFmtId="0" fontId="18" fillId="13" borderId="91" xfId="0" applyFont="1" applyFill="1" applyBorder="1" applyAlignment="1" applyProtection="1">
      <alignment horizontal="center" vertical="center"/>
      <protection hidden="1"/>
    </xf>
    <xf numFmtId="0" fontId="18" fillId="17" borderId="40" xfId="0" applyFont="1" applyFill="1" applyBorder="1" applyAlignment="1" applyProtection="1">
      <alignment horizontal="center" vertical="center"/>
      <protection hidden="1"/>
    </xf>
    <xf numFmtId="0" fontId="18" fillId="17" borderId="4" xfId="0" applyFont="1" applyFill="1" applyBorder="1" applyAlignment="1" applyProtection="1">
      <alignment horizontal="center" vertical="center"/>
      <protection hidden="1"/>
    </xf>
    <xf numFmtId="0" fontId="18" fillId="17" borderId="5" xfId="0" applyFont="1" applyFill="1" applyBorder="1" applyAlignment="1" applyProtection="1">
      <alignment horizontal="center" vertical="center"/>
      <protection hidden="1"/>
    </xf>
    <xf numFmtId="0" fontId="18" fillId="17"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9" fillId="0" borderId="0" xfId="0" applyFont="1" applyProtection="1">
      <protection hidden="1"/>
    </xf>
    <xf numFmtId="0" fontId="0" fillId="14" borderId="0" xfId="0" applyFill="1" applyAlignment="1" applyProtection="1">
      <alignment horizontal="center"/>
      <protection hidden="1"/>
    </xf>
    <xf numFmtId="0" fontId="9" fillId="14" borderId="0" xfId="0" applyFont="1" applyFill="1" applyAlignment="1" applyProtection="1">
      <protection hidden="1"/>
    </xf>
    <xf numFmtId="0" fontId="0" fillId="14"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4" borderId="98" xfId="0" applyFont="1" applyFill="1" applyBorder="1" applyAlignment="1" applyProtection="1">
      <alignment horizontal="center" vertical="center" wrapText="1"/>
      <protection hidden="1"/>
    </xf>
    <xf numFmtId="0" fontId="26" fillId="14" borderId="101" xfId="0" applyFont="1" applyFill="1" applyBorder="1" applyAlignment="1" applyProtection="1">
      <alignment horizontal="center" vertical="center" wrapText="1"/>
      <protection hidden="1"/>
    </xf>
    <xf numFmtId="0" fontId="26" fillId="14" borderId="102" xfId="0" applyFont="1" applyFill="1" applyBorder="1" applyAlignment="1" applyProtection="1">
      <alignment horizontal="center" vertical="center" wrapText="1"/>
      <protection hidden="1"/>
    </xf>
    <xf numFmtId="0" fontId="26" fillId="14" borderId="100" xfId="0" applyFont="1" applyFill="1" applyBorder="1" applyAlignment="1" applyProtection="1">
      <alignment horizontal="center" vertical="center" wrapText="1"/>
      <protection hidden="1"/>
    </xf>
    <xf numFmtId="0" fontId="26" fillId="14"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4"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8"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72"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3" fillId="14" borderId="0" xfId="0" applyFont="1" applyFill="1" applyAlignment="1">
      <alignment horizontal="center" wrapText="1"/>
    </xf>
    <xf numFmtId="0" fontId="65" fillId="12" borderId="0" xfId="0" applyNumberFormat="1" applyFont="1" applyFill="1" applyAlignment="1"/>
    <xf numFmtId="0" fontId="17" fillId="12" borderId="0" xfId="1" applyFill="1" applyAlignment="1" applyProtection="1">
      <alignment wrapText="1"/>
    </xf>
    <xf numFmtId="0" fontId="17" fillId="12" borderId="0" xfId="1" applyFill="1" applyAlignment="1" applyProtection="1">
      <alignment horizontal="right" wrapText="1"/>
    </xf>
    <xf numFmtId="14" fontId="69" fillId="12" borderId="0" xfId="1" applyNumberFormat="1" applyFont="1" applyFill="1" applyAlignment="1" applyProtection="1">
      <alignment horizontal="right" wrapText="1"/>
    </xf>
    <xf numFmtId="0" fontId="74" fillId="13" borderId="0" xfId="0" applyFont="1" applyFill="1" applyAlignment="1">
      <alignment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5"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6"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3" fillId="5" borderId="0" xfId="0" applyFont="1" applyFill="1"/>
    <xf numFmtId="0" fontId="77" fillId="9" borderId="1" xfId="0" applyFont="1" applyFill="1" applyBorder="1"/>
    <xf numFmtId="0" fontId="0" fillId="9" borderId="2" xfId="0" applyFill="1" applyBorder="1"/>
    <xf numFmtId="0" fontId="0" fillId="9" borderId="32" xfId="0" applyFill="1" applyBorder="1"/>
    <xf numFmtId="0" fontId="78" fillId="0" borderId="0" xfId="0" applyFont="1"/>
    <xf numFmtId="0" fontId="0" fillId="0" borderId="0" xfId="0" applyAlignment="1">
      <alignment horizontal="left"/>
    </xf>
    <xf numFmtId="166" fontId="79" fillId="0" borderId="0" xfId="0" applyNumberFormat="1" applyFont="1" applyAlignment="1">
      <alignment horizontal="left"/>
    </xf>
    <xf numFmtId="0" fontId="79" fillId="0" borderId="0" xfId="0" applyFont="1" applyAlignment="1">
      <alignment horizontal="left"/>
    </xf>
    <xf numFmtId="0" fontId="80" fillId="0" borderId="0" xfId="0" applyFont="1" applyAlignment="1">
      <alignment horizontal="left"/>
    </xf>
    <xf numFmtId="0" fontId="0" fillId="3" borderId="0" xfId="0" applyFill="1" applyProtection="1">
      <protection locked="0"/>
    </xf>
    <xf numFmtId="14" fontId="0" fillId="13" borderId="0" xfId="0" applyNumberFormat="1" applyFill="1" applyAlignment="1"/>
    <xf numFmtId="0" fontId="53" fillId="0" borderId="77" xfId="0" applyFont="1" applyFill="1" applyBorder="1" applyAlignment="1" applyProtection="1">
      <alignment horizontal="center" vertical="center"/>
      <protection locked="0"/>
    </xf>
    <xf numFmtId="0" fontId="53" fillId="0" borderId="79" xfId="0" applyFont="1" applyFill="1" applyBorder="1" applyAlignment="1" applyProtection="1">
      <alignment horizontal="center" vertical="center"/>
      <protection locked="0"/>
    </xf>
    <xf numFmtId="0" fontId="0" fillId="0" borderId="0" xfId="0" applyFill="1" applyBorder="1" applyProtection="1">
      <protection locked="0"/>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7"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8" t="s">
        <v>1020</v>
      </c>
      <c r="C1" s="479"/>
      <c r="D1" s="479"/>
      <c r="E1" s="479"/>
      <c r="F1" s="479"/>
      <c r="G1" s="479"/>
      <c r="H1" s="480"/>
    </row>
    <row r="2" spans="2:8" ht="24" x14ac:dyDescent="0.45">
      <c r="B2" s="481" t="s">
        <v>967</v>
      </c>
      <c r="C2" s="482"/>
      <c r="D2" s="482"/>
      <c r="E2" s="482"/>
      <c r="F2" s="482"/>
      <c r="G2" s="482"/>
      <c r="H2" s="482"/>
    </row>
    <row r="3" spans="2:8" ht="14.25" x14ac:dyDescent="0.3">
      <c r="B3" s="138" t="s">
        <v>848</v>
      </c>
      <c r="C3" s="139"/>
      <c r="D3" s="139"/>
      <c r="E3" s="139"/>
      <c r="F3" s="139"/>
      <c r="G3" s="139"/>
      <c r="H3" s="139"/>
    </row>
    <row r="4" spans="2:8" ht="19.5" x14ac:dyDescent="0.4">
      <c r="B4" s="269" t="s">
        <v>1288</v>
      </c>
      <c r="C4" s="270"/>
      <c r="D4" s="270"/>
      <c r="E4" s="270"/>
      <c r="F4" s="270"/>
      <c r="G4" s="270"/>
      <c r="H4" s="270"/>
    </row>
    <row r="5" spans="2:8" ht="14.25" x14ac:dyDescent="0.3">
      <c r="B5" s="269" t="s">
        <v>847</v>
      </c>
      <c r="C5" s="270"/>
      <c r="D5" s="270"/>
      <c r="E5" s="270"/>
      <c r="F5" s="270"/>
      <c r="G5" s="270"/>
      <c r="H5" s="270"/>
    </row>
    <row r="6" spans="2:8" ht="14.25" x14ac:dyDescent="0.3">
      <c r="B6" s="269" t="s">
        <v>849</v>
      </c>
      <c r="C6" s="270"/>
      <c r="D6" s="270"/>
      <c r="E6" s="270"/>
      <c r="F6" s="270"/>
      <c r="G6" s="270"/>
      <c r="H6" s="270"/>
    </row>
    <row r="7" spans="2:8" ht="14.25" x14ac:dyDescent="0.3">
      <c r="B7" s="269" t="s">
        <v>1316</v>
      </c>
      <c r="C7" s="139"/>
      <c r="D7" s="139"/>
      <c r="E7" s="139"/>
      <c r="F7" s="139"/>
      <c r="G7" s="139"/>
      <c r="H7" s="139"/>
    </row>
    <row r="8" spans="2:8" ht="14.25" x14ac:dyDescent="0.3">
      <c r="B8" s="269" t="s">
        <v>1317</v>
      </c>
      <c r="C8" s="139"/>
      <c r="D8" s="139"/>
      <c r="E8" s="139"/>
      <c r="F8" s="139"/>
      <c r="G8" s="139"/>
      <c r="H8" s="139"/>
    </row>
    <row r="9" spans="2:8" x14ac:dyDescent="0.25">
      <c r="B9" s="139" t="s">
        <v>1289</v>
      </c>
      <c r="C9" s="139"/>
      <c r="D9" s="139"/>
      <c r="E9" s="139"/>
      <c r="F9" s="139"/>
      <c r="G9" s="139"/>
      <c r="H9" s="139"/>
    </row>
    <row r="10" spans="2:8" x14ac:dyDescent="0.25">
      <c r="B10" s="139" t="s">
        <v>1232</v>
      </c>
      <c r="C10" s="139"/>
      <c r="D10" s="139"/>
      <c r="E10" s="139"/>
      <c r="F10" s="139"/>
      <c r="G10" s="139"/>
      <c r="H10" s="139"/>
    </row>
    <row r="11" spans="2:8" x14ac:dyDescent="0.25">
      <c r="B11" s="139" t="s">
        <v>979</v>
      </c>
      <c r="C11" s="139"/>
      <c r="D11" s="139"/>
      <c r="E11" s="139"/>
      <c r="F11" s="139"/>
      <c r="G11" s="139"/>
      <c r="H11" s="139"/>
    </row>
    <row r="12" spans="2:8" x14ac:dyDescent="0.25">
      <c r="B12" s="139" t="s">
        <v>802</v>
      </c>
      <c r="C12" s="139"/>
      <c r="D12" s="139"/>
      <c r="E12" s="139"/>
      <c r="F12" s="139"/>
      <c r="G12" s="139"/>
      <c r="H12" s="139"/>
    </row>
    <row r="13" spans="2:8" x14ac:dyDescent="0.25">
      <c r="B13" s="139" t="s">
        <v>803</v>
      </c>
      <c r="C13" s="139"/>
      <c r="D13" s="139"/>
      <c r="E13" s="139"/>
      <c r="F13" s="139"/>
      <c r="G13" s="139"/>
      <c r="H13" s="139"/>
    </row>
    <row r="14" spans="2:8" x14ac:dyDescent="0.25">
      <c r="B14" s="139" t="s">
        <v>850</v>
      </c>
      <c r="C14" s="139"/>
      <c r="D14" s="139"/>
      <c r="E14" s="139"/>
      <c r="F14" s="139"/>
      <c r="G14" s="139"/>
      <c r="H14" s="139"/>
    </row>
    <row r="15" spans="2:8" x14ac:dyDescent="0.25">
      <c r="B15" s="139" t="s">
        <v>1110</v>
      </c>
      <c r="C15" s="139"/>
      <c r="D15" s="139"/>
      <c r="E15" s="139"/>
      <c r="F15" s="139"/>
      <c r="G15" s="139"/>
      <c r="H15" s="139"/>
    </row>
    <row r="16" spans="2:8" x14ac:dyDescent="0.25">
      <c r="B16" s="139" t="s">
        <v>804</v>
      </c>
      <c r="C16" s="139"/>
      <c r="D16" s="139"/>
      <c r="E16" s="139"/>
      <c r="F16" s="139"/>
      <c r="G16" s="139"/>
      <c r="H16" s="139"/>
    </row>
    <row r="17" spans="1:10" x14ac:dyDescent="0.25">
      <c r="A17" s="134" t="s">
        <v>805</v>
      </c>
      <c r="B17" s="139" t="s">
        <v>851</v>
      </c>
      <c r="C17" s="139"/>
      <c r="D17" s="139"/>
      <c r="E17" s="139"/>
      <c r="F17" s="139"/>
      <c r="G17" s="139"/>
      <c r="H17" s="139"/>
    </row>
    <row r="18" spans="1:10" x14ac:dyDescent="0.25">
      <c r="A18" s="134" t="s">
        <v>805</v>
      </c>
      <c r="B18" s="139" t="s">
        <v>1018</v>
      </c>
      <c r="C18" s="139"/>
      <c r="D18" s="139"/>
      <c r="E18" s="139"/>
      <c r="F18" s="139"/>
      <c r="G18" s="139"/>
      <c r="H18" s="139"/>
    </row>
    <row r="20" spans="1:10" x14ac:dyDescent="0.25">
      <c r="B20" t="s">
        <v>897</v>
      </c>
    </row>
    <row r="21" spans="1:10" ht="14.25" x14ac:dyDescent="0.3">
      <c r="B21" s="137" t="s">
        <v>732</v>
      </c>
      <c r="C21" s="3" t="s">
        <v>733</v>
      </c>
      <c r="D21" t="s">
        <v>1155</v>
      </c>
    </row>
    <row r="22" spans="1:10" ht="14.25" x14ac:dyDescent="0.3">
      <c r="B22" s="138" t="s">
        <v>735</v>
      </c>
      <c r="C22" s="139"/>
      <c r="D22" s="140"/>
      <c r="E22" s="139"/>
      <c r="F22" s="139"/>
      <c r="G22" s="139"/>
      <c r="H22" s="139"/>
      <c r="I22" s="139"/>
      <c r="J22" s="139"/>
    </row>
    <row r="24" spans="1:10" ht="14.25" x14ac:dyDescent="0.3">
      <c r="A24" s="271" t="s">
        <v>806</v>
      </c>
      <c r="B24" s="272"/>
      <c r="C24" s="272"/>
      <c r="D24" s="272"/>
      <c r="E24" s="272"/>
      <c r="F24" s="272"/>
      <c r="G24" s="272"/>
      <c r="H24" s="272"/>
    </row>
    <row r="25" spans="1:10" ht="14.25" x14ac:dyDescent="0.3">
      <c r="A25" t="s">
        <v>737</v>
      </c>
      <c r="B25" t="s">
        <v>807</v>
      </c>
    </row>
    <row r="26" spans="1:10" x14ac:dyDescent="0.25">
      <c r="A26" t="s">
        <v>738</v>
      </c>
      <c r="B26" t="s">
        <v>808</v>
      </c>
    </row>
    <row r="27" spans="1:10" x14ac:dyDescent="0.25">
      <c r="A27" t="s">
        <v>739</v>
      </c>
      <c r="B27" t="s">
        <v>783</v>
      </c>
    </row>
    <row r="28" spans="1:10" x14ac:dyDescent="0.25">
      <c r="B28" t="s">
        <v>809</v>
      </c>
    </row>
    <row r="29" spans="1:10" ht="14.25" x14ac:dyDescent="0.3">
      <c r="A29" s="273" t="s">
        <v>810</v>
      </c>
    </row>
    <row r="30" spans="1:10" ht="14.25" x14ac:dyDescent="0.3">
      <c r="A30" s="273"/>
      <c r="B30" t="s">
        <v>811</v>
      </c>
    </row>
    <row r="31" spans="1:10" x14ac:dyDescent="0.25">
      <c r="B31" t="s">
        <v>1318</v>
      </c>
    </row>
    <row r="32" spans="1:10" ht="14.25" x14ac:dyDescent="0.3">
      <c r="B32" s="274" t="s">
        <v>812</v>
      </c>
    </row>
    <row r="34" spans="1:12" ht="14.25" x14ac:dyDescent="0.3">
      <c r="A34" s="271" t="s">
        <v>813</v>
      </c>
      <c r="B34" s="272"/>
      <c r="C34" s="272"/>
      <c r="D34" s="272"/>
      <c r="E34" s="272"/>
      <c r="F34" s="272"/>
      <c r="G34" s="272"/>
      <c r="H34" s="272"/>
    </row>
    <row r="36" spans="1:12" ht="14.25" x14ac:dyDescent="0.3">
      <c r="A36" t="s">
        <v>923</v>
      </c>
    </row>
    <row r="37" spans="1:12" x14ac:dyDescent="0.25">
      <c r="A37" s="134" t="s">
        <v>734</v>
      </c>
      <c r="B37" s="142" t="s">
        <v>924</v>
      </c>
      <c r="C37" s="142"/>
      <c r="D37" s="142"/>
      <c r="E37" s="142"/>
      <c r="F37" s="142"/>
      <c r="G37" s="142"/>
      <c r="H37" s="142"/>
      <c r="I37" s="142"/>
      <c r="J37" s="142"/>
      <c r="K37" s="142"/>
      <c r="L37" s="142"/>
    </row>
    <row r="38" spans="1:12" ht="14.25" x14ac:dyDescent="0.3">
      <c r="A38" s="134"/>
      <c r="B38" s="142" t="s">
        <v>925</v>
      </c>
      <c r="C38" s="142"/>
      <c r="D38" s="142"/>
      <c r="E38" s="142"/>
      <c r="F38" s="142"/>
      <c r="G38" s="142"/>
      <c r="H38" s="142"/>
      <c r="I38" s="142"/>
      <c r="J38" s="142"/>
      <c r="K38" s="142"/>
      <c r="L38" s="142"/>
    </row>
    <row r="39" spans="1:12" ht="14.25" x14ac:dyDescent="0.3">
      <c r="A39" s="134"/>
      <c r="B39" s="142" t="s">
        <v>926</v>
      </c>
      <c r="C39" s="142"/>
      <c r="D39" s="142"/>
      <c r="E39" s="142"/>
      <c r="F39" s="142"/>
      <c r="G39" s="142"/>
      <c r="H39" s="142"/>
      <c r="I39" s="142"/>
      <c r="J39" s="142"/>
      <c r="K39" s="142"/>
      <c r="L39" s="142"/>
    </row>
    <row r="40" spans="1:12" ht="14.25" x14ac:dyDescent="0.3">
      <c r="A40" s="134"/>
      <c r="B40" s="142" t="s">
        <v>927</v>
      </c>
      <c r="C40" s="142"/>
      <c r="D40" s="142"/>
      <c r="E40" s="142"/>
      <c r="F40" s="142"/>
      <c r="G40" s="142"/>
      <c r="H40" s="142"/>
      <c r="I40" s="142"/>
      <c r="J40" s="142"/>
      <c r="K40" s="142"/>
      <c r="L40" s="142"/>
    </row>
    <row r="41" spans="1:12" ht="14.25" x14ac:dyDescent="0.3">
      <c r="A41" s="134"/>
      <c r="B41" s="142" t="s">
        <v>928</v>
      </c>
      <c r="C41" s="142"/>
      <c r="D41" s="142"/>
      <c r="E41" s="142"/>
      <c r="F41" s="142"/>
      <c r="G41" s="142"/>
      <c r="H41" s="142"/>
      <c r="I41" s="142"/>
      <c r="J41" s="142"/>
      <c r="K41" s="142"/>
      <c r="L41" s="142"/>
    </row>
    <row r="42" spans="1:12" x14ac:dyDescent="0.25">
      <c r="A42" s="134"/>
      <c r="B42" s="142" t="s">
        <v>929</v>
      </c>
      <c r="C42" s="142"/>
      <c r="D42" s="142"/>
      <c r="E42" s="142"/>
      <c r="F42" s="142"/>
      <c r="G42" s="142"/>
      <c r="H42" s="142"/>
      <c r="I42" s="142"/>
      <c r="J42" s="142"/>
      <c r="K42" s="142"/>
      <c r="L42" s="142"/>
    </row>
    <row r="43" spans="1:12" ht="14.25" x14ac:dyDescent="0.3">
      <c r="A43" s="134"/>
      <c r="B43" s="303" t="s">
        <v>1160</v>
      </c>
      <c r="C43" s="142"/>
      <c r="D43" s="142"/>
      <c r="E43" s="142"/>
      <c r="F43" s="142"/>
      <c r="G43" s="142"/>
      <c r="H43" s="142"/>
      <c r="I43" s="142"/>
      <c r="J43" s="142"/>
      <c r="K43" s="142"/>
      <c r="L43" s="142"/>
    </row>
    <row r="44" spans="1:12" ht="14.25" x14ac:dyDescent="0.3">
      <c r="A44" s="134"/>
      <c r="B44" s="315" t="s">
        <v>840</v>
      </c>
      <c r="C44" s="142"/>
      <c r="D44" s="142"/>
      <c r="E44" s="142"/>
      <c r="F44" s="142"/>
      <c r="G44" s="142"/>
      <c r="H44" s="142"/>
      <c r="I44" s="142"/>
      <c r="J44" s="142"/>
      <c r="K44" s="142"/>
      <c r="L44" s="142"/>
    </row>
    <row r="45" spans="1:12" ht="14.25" x14ac:dyDescent="0.3">
      <c r="A45" s="134"/>
      <c r="B45" s="461" t="s">
        <v>1159</v>
      </c>
      <c r="C45" s="142"/>
      <c r="D45" s="142"/>
      <c r="E45" s="142"/>
      <c r="F45" s="142"/>
      <c r="G45" s="142"/>
      <c r="H45" s="142"/>
      <c r="I45" s="142"/>
      <c r="J45" s="142"/>
      <c r="K45" s="142"/>
      <c r="L45" s="142"/>
    </row>
    <row r="46" spans="1:12" ht="14.25" x14ac:dyDescent="0.3">
      <c r="A46" s="134"/>
      <c r="B46" s="461" t="s">
        <v>654</v>
      </c>
      <c r="C46" s="142"/>
      <c r="D46" s="142"/>
      <c r="E46" s="142"/>
      <c r="F46" s="142"/>
      <c r="G46" s="142"/>
      <c r="H46" s="142"/>
      <c r="I46" s="142"/>
      <c r="J46" s="142"/>
      <c r="K46" s="142"/>
      <c r="L46" s="142"/>
    </row>
    <row r="47" spans="1:12" ht="14.25" x14ac:dyDescent="0.3">
      <c r="A47" s="134"/>
      <c r="B47" s="461" t="s">
        <v>1156</v>
      </c>
      <c r="C47" s="142"/>
      <c r="D47" s="142"/>
      <c r="E47" s="142"/>
      <c r="F47" s="142"/>
      <c r="G47" s="142"/>
      <c r="H47" s="142"/>
      <c r="I47" s="142"/>
      <c r="J47" s="142"/>
      <c r="K47" s="142"/>
      <c r="L47" s="142"/>
    </row>
    <row r="48" spans="1:12" ht="14.25" x14ac:dyDescent="0.3">
      <c r="A48" s="134"/>
      <c r="B48" s="464" t="s">
        <v>1161</v>
      </c>
      <c r="C48" s="142"/>
      <c r="D48" s="142"/>
      <c r="E48" s="142"/>
      <c r="F48" s="142"/>
      <c r="G48" s="142"/>
      <c r="H48" s="142"/>
      <c r="I48" s="142"/>
      <c r="J48" s="142"/>
      <c r="K48" s="142"/>
      <c r="L48" s="142"/>
    </row>
    <row r="49" spans="1:12" ht="14.25" x14ac:dyDescent="0.3">
      <c r="A49" s="134"/>
      <c r="B49" s="461" t="s">
        <v>655</v>
      </c>
      <c r="C49" s="142"/>
      <c r="D49" s="142"/>
      <c r="E49" s="142"/>
      <c r="F49" s="142"/>
      <c r="G49" s="142"/>
      <c r="H49" s="142"/>
      <c r="I49" s="142"/>
      <c r="J49" s="142"/>
      <c r="K49" s="142"/>
      <c r="L49" s="142"/>
    </row>
    <row r="51" spans="1:12" ht="14.25" x14ac:dyDescent="0.3">
      <c r="A51" t="s">
        <v>930</v>
      </c>
    </row>
    <row r="52" spans="1:12" x14ac:dyDescent="0.25">
      <c r="A52" s="134" t="s">
        <v>734</v>
      </c>
      <c r="B52" t="s">
        <v>931</v>
      </c>
    </row>
    <row r="53" spans="1:12" x14ac:dyDescent="0.25">
      <c r="A53" s="134"/>
      <c r="B53" t="s">
        <v>814</v>
      </c>
    </row>
    <row r="54" spans="1:12" x14ac:dyDescent="0.25">
      <c r="A54" s="134" t="s">
        <v>734</v>
      </c>
      <c r="B54" t="s">
        <v>980</v>
      </c>
    </row>
    <row r="55" spans="1:12" x14ac:dyDescent="0.25">
      <c r="A55" s="134" t="s">
        <v>734</v>
      </c>
      <c r="B55" t="s">
        <v>932</v>
      </c>
    </row>
    <row r="56" spans="1:12" x14ac:dyDescent="0.25">
      <c r="B56" t="s">
        <v>935</v>
      </c>
    </row>
    <row r="57" spans="1:12" x14ac:dyDescent="0.25">
      <c r="A57" s="134" t="s">
        <v>734</v>
      </c>
      <c r="B57" t="s">
        <v>936</v>
      </c>
    </row>
    <row r="58" spans="1:12" x14ac:dyDescent="0.25">
      <c r="A58" s="134" t="s">
        <v>734</v>
      </c>
      <c r="B58" t="s">
        <v>908</v>
      </c>
    </row>
    <row r="59" spans="1:12" x14ac:dyDescent="0.25">
      <c r="B59" t="s">
        <v>909</v>
      </c>
    </row>
    <row r="60" spans="1:12" x14ac:dyDescent="0.25">
      <c r="A60" s="134" t="s">
        <v>734</v>
      </c>
      <c r="B60" t="s">
        <v>910</v>
      </c>
    </row>
    <row r="61" spans="1:12" x14ac:dyDescent="0.25">
      <c r="A61" s="134"/>
      <c r="B61" t="s">
        <v>911</v>
      </c>
    </row>
    <row r="62" spans="1:12" x14ac:dyDescent="0.25">
      <c r="A62" s="134"/>
      <c r="B62" t="s">
        <v>912</v>
      </c>
    </row>
    <row r="63" spans="1:12" x14ac:dyDescent="0.25">
      <c r="A63" s="134" t="s">
        <v>734</v>
      </c>
      <c r="B63" s="139" t="s">
        <v>968</v>
      </c>
      <c r="C63" s="139"/>
      <c r="D63" s="139"/>
      <c r="E63" s="139"/>
      <c r="F63" s="139"/>
      <c r="G63" s="139"/>
      <c r="H63" s="139"/>
      <c r="I63" s="139"/>
      <c r="J63" s="139"/>
      <c r="K63" s="139"/>
      <c r="L63" s="139"/>
    </row>
    <row r="64" spans="1:12" x14ac:dyDescent="0.25">
      <c r="A64" s="134" t="s">
        <v>734</v>
      </c>
      <c r="B64" t="s">
        <v>815</v>
      </c>
    </row>
    <row r="65" spans="1:13" x14ac:dyDescent="0.25">
      <c r="A65" s="134" t="s">
        <v>734</v>
      </c>
      <c r="B65" t="s">
        <v>914</v>
      </c>
    </row>
    <row r="66" spans="1:13" x14ac:dyDescent="0.25">
      <c r="A66" s="134" t="s">
        <v>734</v>
      </c>
      <c r="B66" t="s">
        <v>913</v>
      </c>
    </row>
    <row r="67" spans="1:13" x14ac:dyDescent="0.25">
      <c r="A67" s="134" t="s">
        <v>734</v>
      </c>
      <c r="B67" t="s">
        <v>816</v>
      </c>
    </row>
    <row r="68" spans="1:13" x14ac:dyDescent="0.25">
      <c r="A68" s="134"/>
    </row>
    <row r="69" spans="1:13" ht="14.25" x14ac:dyDescent="0.3">
      <c r="A69" t="s">
        <v>1157</v>
      </c>
      <c r="M69" s="292"/>
    </row>
    <row r="70" spans="1:13" ht="14.25" x14ac:dyDescent="0.3">
      <c r="A70" s="134"/>
      <c r="B70" t="s">
        <v>969</v>
      </c>
    </row>
    <row r="71" spans="1:13" x14ac:dyDescent="0.25">
      <c r="A71" s="134"/>
      <c r="B71" t="s">
        <v>998</v>
      </c>
    </row>
    <row r="72" spans="1:13" x14ac:dyDescent="0.25">
      <c r="A72" s="134"/>
      <c r="B72" t="s">
        <v>999</v>
      </c>
    </row>
    <row r="73" spans="1:13" x14ac:dyDescent="0.25">
      <c r="A73" s="134"/>
      <c r="B73" t="s">
        <v>1151</v>
      </c>
    </row>
    <row r="74" spans="1:13" x14ac:dyDescent="0.25">
      <c r="A74" s="134"/>
      <c r="B74" t="s">
        <v>1152</v>
      </c>
    </row>
    <row r="75" spans="1:13" x14ac:dyDescent="0.25">
      <c r="A75" s="134"/>
      <c r="B75" t="s">
        <v>1153</v>
      </c>
    </row>
    <row r="76" spans="1:13" ht="14.25" x14ac:dyDescent="0.3">
      <c r="A76" s="134"/>
      <c r="B76" t="s">
        <v>1006</v>
      </c>
    </row>
    <row r="77" spans="1:13" ht="14.25" x14ac:dyDescent="0.3">
      <c r="A77" s="134"/>
      <c r="B77" t="s">
        <v>1001</v>
      </c>
    </row>
    <row r="78" spans="1:13" x14ac:dyDescent="0.25">
      <c r="A78" s="134"/>
      <c r="B78" t="s">
        <v>1002</v>
      </c>
    </row>
    <row r="79" spans="1:13" ht="14.25" x14ac:dyDescent="0.3">
      <c r="A79" s="134"/>
      <c r="B79" t="s">
        <v>1000</v>
      </c>
    </row>
    <row r="80" spans="1:13" ht="14.25" x14ac:dyDescent="0.3">
      <c r="A80" s="134"/>
      <c r="B80" t="s">
        <v>1003</v>
      </c>
    </row>
    <row r="81" spans="1:12" x14ac:dyDescent="0.25">
      <c r="A81" s="134"/>
      <c r="B81" s="293" t="s">
        <v>1007</v>
      </c>
    </row>
    <row r="82" spans="1:12" x14ac:dyDescent="0.25">
      <c r="A82" s="134"/>
      <c r="B82" t="s">
        <v>970</v>
      </c>
    </row>
    <row r="83" spans="1:12" x14ac:dyDescent="0.25">
      <c r="A83" s="134"/>
      <c r="B83" t="s">
        <v>1158</v>
      </c>
    </row>
    <row r="84" spans="1:12" x14ac:dyDescent="0.25">
      <c r="A84" s="134"/>
      <c r="B84" t="s">
        <v>971</v>
      </c>
    </row>
    <row r="85" spans="1:12" x14ac:dyDescent="0.25">
      <c r="A85" s="134"/>
    </row>
    <row r="86" spans="1:12" ht="14.25" x14ac:dyDescent="0.3">
      <c r="A86" s="134"/>
      <c r="B86" t="s">
        <v>1154</v>
      </c>
    </row>
    <row r="87" spans="1:12" x14ac:dyDescent="0.25">
      <c r="A87" s="134"/>
      <c r="B87" t="s">
        <v>1005</v>
      </c>
    </row>
    <row r="88" spans="1:12" x14ac:dyDescent="0.25">
      <c r="A88" s="134"/>
      <c r="B88" t="s">
        <v>1008</v>
      </c>
    </row>
    <row r="89" spans="1:12" x14ac:dyDescent="0.25">
      <c r="A89" s="134"/>
    </row>
    <row r="90" spans="1:12" ht="14.25" x14ac:dyDescent="0.3">
      <c r="A90" t="s">
        <v>989</v>
      </c>
      <c r="B90" s="142"/>
      <c r="C90" s="142"/>
      <c r="D90" s="142"/>
      <c r="E90" s="142"/>
      <c r="F90" s="142"/>
      <c r="G90" s="142"/>
      <c r="H90" s="142"/>
      <c r="I90" s="142"/>
      <c r="J90" s="142"/>
      <c r="K90" s="142"/>
      <c r="L90" s="142"/>
    </row>
    <row r="91" spans="1:12" x14ac:dyDescent="0.25">
      <c r="A91" s="134" t="s">
        <v>734</v>
      </c>
      <c r="B91" t="s">
        <v>915</v>
      </c>
    </row>
    <row r="92" spans="1:12" ht="14.25" x14ac:dyDescent="0.3">
      <c r="A92" s="134" t="s">
        <v>734</v>
      </c>
      <c r="B92" s="139" t="s">
        <v>898</v>
      </c>
      <c r="C92" s="139"/>
      <c r="D92" s="139"/>
      <c r="E92" s="139"/>
      <c r="F92" s="139"/>
      <c r="G92" s="139"/>
      <c r="H92" s="139"/>
      <c r="I92" s="139"/>
      <c r="J92" s="139"/>
      <c r="K92" s="139"/>
      <c r="L92" s="139"/>
    </row>
    <row r="93" spans="1:12" ht="14.25" x14ac:dyDescent="0.3">
      <c r="A93" s="134" t="s">
        <v>734</v>
      </c>
      <c r="B93" t="s">
        <v>904</v>
      </c>
    </row>
    <row r="94" spans="1:12" x14ac:dyDescent="0.25">
      <c r="A94" s="134"/>
    </row>
    <row r="95" spans="1:12" ht="14.25" x14ac:dyDescent="0.3">
      <c r="A95" t="s">
        <v>990</v>
      </c>
    </row>
    <row r="96" spans="1:12" ht="13.15" customHeight="1" x14ac:dyDescent="0.25">
      <c r="A96" s="134" t="s">
        <v>734</v>
      </c>
      <c r="B96" t="s">
        <v>899</v>
      </c>
    </row>
    <row r="97" spans="1:2" ht="13.15" customHeight="1" x14ac:dyDescent="0.25">
      <c r="A97" s="134"/>
    </row>
    <row r="98" spans="1:2" ht="13.15" customHeight="1" x14ac:dyDescent="0.3">
      <c r="A98" t="s">
        <v>991</v>
      </c>
    </row>
    <row r="99" spans="1:2" ht="13.15" customHeight="1" x14ac:dyDescent="0.3">
      <c r="A99" s="134" t="s">
        <v>734</v>
      </c>
      <c r="B99" s="135" t="s">
        <v>916</v>
      </c>
    </row>
    <row r="100" spans="1:2" ht="13.15" customHeight="1" x14ac:dyDescent="0.25">
      <c r="A100" s="134"/>
      <c r="B100" s="135" t="s">
        <v>972</v>
      </c>
    </row>
    <row r="101" spans="1:2" ht="13.15" customHeight="1" x14ac:dyDescent="0.25">
      <c r="A101" s="134"/>
      <c r="B101" s="135" t="s">
        <v>973</v>
      </c>
    </row>
    <row r="102" spans="1:2" ht="13.15" customHeight="1" x14ac:dyDescent="0.25">
      <c r="A102" s="134"/>
      <c r="B102" s="135" t="s">
        <v>974</v>
      </c>
    </row>
    <row r="103" spans="1:2" ht="13.15" customHeight="1" x14ac:dyDescent="0.3">
      <c r="A103" s="134"/>
      <c r="B103" s="135" t="s">
        <v>903</v>
      </c>
    </row>
    <row r="104" spans="1:2" ht="13.15" customHeight="1" x14ac:dyDescent="0.3">
      <c r="A104" s="134" t="s">
        <v>734</v>
      </c>
      <c r="B104" t="s">
        <v>1004</v>
      </c>
    </row>
    <row r="105" spans="1:2" ht="13.15" customHeight="1" x14ac:dyDescent="0.3">
      <c r="A105" s="134" t="s">
        <v>734</v>
      </c>
      <c r="B105" s="135" t="s">
        <v>917</v>
      </c>
    </row>
    <row r="106" spans="1:2" ht="13.15" customHeight="1" x14ac:dyDescent="0.25">
      <c r="A106" s="134"/>
      <c r="B106" s="135"/>
    </row>
    <row r="107" spans="1:2" ht="13.15" customHeight="1" x14ac:dyDescent="0.3">
      <c r="A107" t="s">
        <v>988</v>
      </c>
    </row>
    <row r="108" spans="1:2" ht="13.15" customHeight="1" x14ac:dyDescent="0.3">
      <c r="A108" s="134" t="s">
        <v>734</v>
      </c>
      <c r="B108" t="s">
        <v>975</v>
      </c>
    </row>
    <row r="109" spans="1:2" ht="13.15" customHeight="1" x14ac:dyDescent="0.25">
      <c r="A109" s="134"/>
      <c r="B109" t="s">
        <v>987</v>
      </c>
    </row>
    <row r="110" spans="1:2" ht="13.15" customHeight="1" x14ac:dyDescent="0.3">
      <c r="A110" s="134"/>
      <c r="B110" t="s">
        <v>1111</v>
      </c>
    </row>
    <row r="111" spans="1:2" ht="13.15" customHeight="1" x14ac:dyDescent="0.3">
      <c r="A111" s="134"/>
      <c r="B111" t="s">
        <v>1112</v>
      </c>
    </row>
    <row r="112" spans="1:2" ht="13.15" customHeight="1" x14ac:dyDescent="0.25">
      <c r="A112" s="134"/>
      <c r="B112" t="s">
        <v>1113</v>
      </c>
    </row>
    <row r="113" spans="1:12" ht="13.15" customHeight="1" x14ac:dyDescent="0.25">
      <c r="A113" s="134" t="s">
        <v>734</v>
      </c>
      <c r="B113" t="s">
        <v>976</v>
      </c>
    </row>
    <row r="114" spans="1:12" ht="13.15" customHeight="1" x14ac:dyDescent="0.25">
      <c r="A114" s="134"/>
      <c r="B114" t="s">
        <v>817</v>
      </c>
    </row>
    <row r="115" spans="1:12" ht="13.15" customHeight="1" x14ac:dyDescent="0.25">
      <c r="A115" s="134"/>
    </row>
    <row r="116" spans="1:12" ht="13.15" customHeight="1" x14ac:dyDescent="0.25">
      <c r="A116" t="s">
        <v>992</v>
      </c>
    </row>
    <row r="117" spans="1:12" ht="13.15" customHeight="1" x14ac:dyDescent="0.25">
      <c r="B117" t="s">
        <v>977</v>
      </c>
    </row>
    <row r="118" spans="1:12" ht="13.15" customHeight="1" x14ac:dyDescent="0.25">
      <c r="B118" t="s">
        <v>918</v>
      </c>
    </row>
    <row r="119" spans="1:12" ht="13.15" customHeight="1" x14ac:dyDescent="0.3">
      <c r="A119" s="134" t="s">
        <v>734</v>
      </c>
      <c r="B119" t="s">
        <v>1114</v>
      </c>
    </row>
    <row r="120" spans="1:12" ht="13.15" customHeight="1" x14ac:dyDescent="0.25">
      <c r="A120" s="134"/>
    </row>
    <row r="121" spans="1:12" ht="13.15" customHeight="1" x14ac:dyDescent="0.3">
      <c r="A121" t="s">
        <v>993</v>
      </c>
      <c r="B121" s="135"/>
    </row>
    <row r="122" spans="1:12" ht="13.15" customHeight="1" x14ac:dyDescent="0.25">
      <c r="A122" s="134" t="s">
        <v>734</v>
      </c>
      <c r="B122" s="135" t="s">
        <v>818</v>
      </c>
    </row>
    <row r="123" spans="1:12" ht="13.15" customHeight="1" x14ac:dyDescent="0.25">
      <c r="A123" t="s">
        <v>994</v>
      </c>
    </row>
    <row r="124" spans="1:12" ht="13.15" customHeight="1" x14ac:dyDescent="0.25">
      <c r="A124" t="s">
        <v>995</v>
      </c>
    </row>
    <row r="125" spans="1:12" ht="14.25" x14ac:dyDescent="0.3">
      <c r="A125" t="s">
        <v>996</v>
      </c>
      <c r="G125" s="2"/>
    </row>
    <row r="126" spans="1:12" ht="13.15" customHeight="1" x14ac:dyDescent="0.3">
      <c r="A126" s="134" t="s">
        <v>734</v>
      </c>
      <c r="B126" s="275" t="s">
        <v>819</v>
      </c>
      <c r="C126" s="139"/>
      <c r="D126" s="139"/>
      <c r="E126" s="139"/>
      <c r="F126" s="139"/>
      <c r="G126" s="139"/>
      <c r="H126" s="148"/>
      <c r="I126" s="148"/>
      <c r="J126" s="148"/>
      <c r="K126" s="139"/>
      <c r="L126" s="139"/>
    </row>
    <row r="127" spans="1:12" ht="13.15" customHeight="1" x14ac:dyDescent="0.3">
      <c r="A127" s="134"/>
      <c r="B127" s="141" t="s">
        <v>820</v>
      </c>
      <c r="C127" s="139"/>
      <c r="D127" s="139"/>
      <c r="E127" s="139"/>
      <c r="F127" s="139"/>
      <c r="G127" s="139"/>
      <c r="H127" s="148"/>
      <c r="I127" s="148"/>
      <c r="J127" s="148"/>
      <c r="K127" s="139"/>
      <c r="L127" s="139"/>
    </row>
    <row r="128" spans="1:12" ht="13.15" customHeight="1" x14ac:dyDescent="0.3">
      <c r="A128" s="134"/>
      <c r="B128" s="275" t="s">
        <v>821</v>
      </c>
      <c r="C128" s="139"/>
      <c r="D128" s="139"/>
      <c r="E128" s="139"/>
      <c r="F128" s="139"/>
      <c r="G128" s="139"/>
      <c r="H128" s="148"/>
      <c r="I128" s="148"/>
      <c r="J128" s="148"/>
      <c r="K128" s="139"/>
      <c r="L128" s="139"/>
    </row>
    <row r="129" spans="1:12" ht="13.15" customHeight="1" x14ac:dyDescent="0.3">
      <c r="A129" s="134"/>
      <c r="B129" s="275" t="s">
        <v>822</v>
      </c>
      <c r="C129" s="139"/>
      <c r="D129" s="139"/>
      <c r="E129" s="139"/>
      <c r="F129" s="139"/>
      <c r="G129" s="139"/>
      <c r="H129" s="148"/>
      <c r="I129" s="148"/>
      <c r="J129" s="148"/>
      <c r="K129" s="139"/>
      <c r="L129" s="139"/>
    </row>
    <row r="130" spans="1:12" x14ac:dyDescent="0.25">
      <c r="A130" s="276" t="s">
        <v>997</v>
      </c>
    </row>
    <row r="132" spans="1:12" ht="14.25" x14ac:dyDescent="0.3">
      <c r="A132" s="274" t="s">
        <v>823</v>
      </c>
      <c r="B132" s="274"/>
    </row>
    <row r="133" spans="1:12" x14ac:dyDescent="0.25">
      <c r="B133" t="s">
        <v>1285</v>
      </c>
    </row>
    <row r="134" spans="1:12" x14ac:dyDescent="0.25">
      <c r="B134" t="s">
        <v>1286</v>
      </c>
    </row>
    <row r="135" spans="1:12" x14ac:dyDescent="0.25">
      <c r="B135" t="s">
        <v>1287</v>
      </c>
    </row>
    <row r="136" spans="1:12" x14ac:dyDescent="0.25">
      <c r="B136" t="s">
        <v>1284</v>
      </c>
    </row>
    <row r="139" spans="1:12" ht="14.25" x14ac:dyDescent="0.3">
      <c r="A139" s="277" t="s">
        <v>824</v>
      </c>
    </row>
    <row r="140" spans="1:12" x14ac:dyDescent="0.25">
      <c r="A140" s="134" t="s">
        <v>734</v>
      </c>
      <c r="B140" t="s">
        <v>1233</v>
      </c>
    </row>
    <row r="141" spans="1:12" x14ac:dyDescent="0.25">
      <c r="A141" s="134" t="s">
        <v>734</v>
      </c>
      <c r="B141" t="s">
        <v>933</v>
      </c>
    </row>
    <row r="142" spans="1:12" x14ac:dyDescent="0.25">
      <c r="A142" s="134" t="s">
        <v>734</v>
      </c>
      <c r="B142" t="s">
        <v>825</v>
      </c>
      <c r="J142" s="278" t="s">
        <v>826</v>
      </c>
    </row>
    <row r="143" spans="1:12" x14ac:dyDescent="0.25">
      <c r="A143" s="134" t="s">
        <v>734</v>
      </c>
      <c r="B143" t="s">
        <v>827</v>
      </c>
    </row>
    <row r="144" spans="1:12" x14ac:dyDescent="0.25">
      <c r="A144" s="134" t="s">
        <v>734</v>
      </c>
      <c r="B144" t="s">
        <v>835</v>
      </c>
    </row>
    <row r="145" spans="1:2" x14ac:dyDescent="0.25">
      <c r="A145" s="134" t="s">
        <v>734</v>
      </c>
      <c r="B145" t="s">
        <v>836</v>
      </c>
    </row>
    <row r="146" spans="1:2" x14ac:dyDescent="0.25">
      <c r="A146" s="134" t="s">
        <v>734</v>
      </c>
      <c r="B146" t="s">
        <v>837</v>
      </c>
    </row>
    <row r="147" spans="1:2" x14ac:dyDescent="0.25">
      <c r="A147" s="134" t="s">
        <v>734</v>
      </c>
      <c r="B147" t="s">
        <v>846</v>
      </c>
    </row>
    <row r="148" spans="1:2" x14ac:dyDescent="0.25">
      <c r="A148" s="134"/>
      <c r="B148" t="s">
        <v>900</v>
      </c>
    </row>
    <row r="149" spans="1:2" ht="13.15" customHeight="1" x14ac:dyDescent="0.25">
      <c r="A149" s="134" t="s">
        <v>734</v>
      </c>
      <c r="B149" t="s">
        <v>901</v>
      </c>
    </row>
    <row r="150" spans="1:2" ht="13.15" customHeight="1" x14ac:dyDescent="0.25">
      <c r="A150" s="134" t="s">
        <v>734</v>
      </c>
      <c r="B150" t="s">
        <v>902</v>
      </c>
    </row>
    <row r="151" spans="1:2" ht="13.15" customHeight="1" x14ac:dyDescent="0.25">
      <c r="A151" s="134" t="s">
        <v>734</v>
      </c>
      <c r="B151" t="s">
        <v>919</v>
      </c>
    </row>
    <row r="152" spans="1:2" x14ac:dyDescent="0.25">
      <c r="A152" s="134" t="s">
        <v>734</v>
      </c>
      <c r="B152" t="s">
        <v>920</v>
      </c>
    </row>
    <row r="153" spans="1:2" x14ac:dyDescent="0.25">
      <c r="A153" s="134" t="s">
        <v>734</v>
      </c>
      <c r="B153" t="s">
        <v>978</v>
      </c>
    </row>
    <row r="154" spans="1:2" x14ac:dyDescent="0.25">
      <c r="A154" s="134" t="s">
        <v>734</v>
      </c>
      <c r="B154" t="s">
        <v>934</v>
      </c>
    </row>
    <row r="155" spans="1:2" x14ac:dyDescent="0.25">
      <c r="A155" s="134" t="s">
        <v>734</v>
      </c>
      <c r="B155" t="s">
        <v>832</v>
      </c>
    </row>
    <row r="156" spans="1:2" x14ac:dyDescent="0.25">
      <c r="A156" s="134" t="s">
        <v>734</v>
      </c>
      <c r="B156" t="s">
        <v>653</v>
      </c>
    </row>
    <row r="157" spans="1:2" x14ac:dyDescent="0.25">
      <c r="A157" s="134" t="s">
        <v>734</v>
      </c>
      <c r="B157" t="s">
        <v>652</v>
      </c>
    </row>
    <row r="158" spans="1:2" x14ac:dyDescent="0.25">
      <c r="A158" s="134"/>
    </row>
    <row r="159" spans="1:2" x14ac:dyDescent="0.25">
      <c r="A159" s="134"/>
    </row>
    <row r="160" spans="1:2" x14ac:dyDescent="0.25">
      <c r="A160" s="134"/>
    </row>
    <row r="161" spans="1:1" x14ac:dyDescent="0.25">
      <c r="A161" t="s">
        <v>1009</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750</v>
      </c>
      <c r="B1" s="6"/>
      <c r="C1" s="6"/>
      <c r="D1" s="68"/>
      <c r="E1" s="4"/>
      <c r="F1" s="246">
        <v>36.722812499999996</v>
      </c>
      <c r="G1" s="4"/>
    </row>
    <row r="2" spans="1:7" ht="34.15" customHeight="1" thickBot="1" x14ac:dyDescent="0.3">
      <c r="A2" s="86">
        <v>16040</v>
      </c>
      <c r="B2" s="84" t="s">
        <v>1379</v>
      </c>
      <c r="C2" s="85"/>
      <c r="D2" s="85"/>
      <c r="E2" s="91"/>
      <c r="G2" s="4"/>
    </row>
    <row r="3" spans="1:7" ht="21.75" customHeight="1" thickBot="1" x14ac:dyDescent="0.3">
      <c r="A3" s="4"/>
      <c r="B3" s="4"/>
      <c r="C3" s="4"/>
      <c r="D3" s="4"/>
      <c r="E3" s="10" t="s">
        <v>751</v>
      </c>
      <c r="F3" s="4">
        <v>587.56499999999994</v>
      </c>
      <c r="G3" s="4"/>
    </row>
    <row r="4" spans="1:7" ht="24.75" customHeight="1" thickBot="1" x14ac:dyDescent="0.3">
      <c r="A4" s="73" t="s">
        <v>1025</v>
      </c>
      <c r="B4" s="73" t="s">
        <v>1061</v>
      </c>
      <c r="C4" s="73" t="s">
        <v>1026</v>
      </c>
      <c r="D4" s="73" t="s">
        <v>1027</v>
      </c>
      <c r="E4" s="74" t="s">
        <v>1028</v>
      </c>
      <c r="F4" s="74" t="s">
        <v>749</v>
      </c>
      <c r="G4" s="4"/>
    </row>
    <row r="5" spans="1:7" x14ac:dyDescent="0.25">
      <c r="A5" s="264">
        <v>12020</v>
      </c>
      <c r="B5" s="264" t="s">
        <v>157</v>
      </c>
      <c r="C5" s="264" t="s">
        <v>54</v>
      </c>
      <c r="D5" s="264" t="s">
        <v>1116</v>
      </c>
      <c r="E5" s="264">
        <v>29</v>
      </c>
      <c r="F5" s="264">
        <v>48.75</v>
      </c>
      <c r="G5" s="4"/>
    </row>
    <row r="6" spans="1:7" x14ac:dyDescent="0.25">
      <c r="A6" s="264">
        <v>98446</v>
      </c>
      <c r="B6" s="264" t="s">
        <v>1592</v>
      </c>
      <c r="C6" s="264" t="s">
        <v>54</v>
      </c>
      <c r="D6" s="264" t="s">
        <v>1116</v>
      </c>
      <c r="E6" s="264">
        <v>28</v>
      </c>
      <c r="F6" s="264">
        <v>48.75</v>
      </c>
      <c r="G6" s="4"/>
    </row>
    <row r="7" spans="1:7" x14ac:dyDescent="0.25">
      <c r="A7" s="264">
        <v>27069</v>
      </c>
      <c r="B7" s="264" t="s">
        <v>488</v>
      </c>
      <c r="C7" s="264" t="s">
        <v>39</v>
      </c>
      <c r="D7" s="264" t="s">
        <v>1172</v>
      </c>
      <c r="E7" s="264">
        <v>21</v>
      </c>
      <c r="F7" s="264">
        <v>41.375</v>
      </c>
      <c r="G7" s="4"/>
    </row>
    <row r="8" spans="1:7" x14ac:dyDescent="0.25">
      <c r="A8" s="264">
        <v>99574</v>
      </c>
      <c r="B8" s="264" t="s">
        <v>119</v>
      </c>
      <c r="C8" s="264" t="s">
        <v>120</v>
      </c>
      <c r="D8" s="264" t="s">
        <v>1119</v>
      </c>
      <c r="E8" s="264">
        <v>46</v>
      </c>
      <c r="F8" s="264">
        <v>39.5</v>
      </c>
      <c r="G8" s="4"/>
    </row>
    <row r="9" spans="1:7" x14ac:dyDescent="0.25">
      <c r="A9" s="264">
        <v>24218</v>
      </c>
      <c r="B9" s="264" t="s">
        <v>172</v>
      </c>
      <c r="C9" s="264" t="s">
        <v>54</v>
      </c>
      <c r="D9" s="264" t="s">
        <v>1162</v>
      </c>
      <c r="E9" s="264">
        <v>18</v>
      </c>
      <c r="F9" s="264">
        <v>39.125</v>
      </c>
      <c r="G9" s="4"/>
    </row>
    <row r="10" spans="1:7" x14ac:dyDescent="0.25">
      <c r="A10" s="264">
        <v>21754</v>
      </c>
      <c r="B10" s="264" t="s">
        <v>573</v>
      </c>
      <c r="C10" s="264" t="s">
        <v>72</v>
      </c>
      <c r="D10" s="264" t="s">
        <v>1170</v>
      </c>
      <c r="E10" s="264">
        <v>57</v>
      </c>
      <c r="F10" s="264">
        <v>38.5</v>
      </c>
      <c r="G10" s="4"/>
    </row>
    <row r="11" spans="1:7" x14ac:dyDescent="0.25">
      <c r="A11" s="264">
        <v>14076</v>
      </c>
      <c r="B11" s="264" t="s">
        <v>1549</v>
      </c>
      <c r="C11" s="264" t="s">
        <v>34</v>
      </c>
      <c r="D11" s="264" t="s">
        <v>1437</v>
      </c>
      <c r="E11" s="264">
        <v>61</v>
      </c>
      <c r="F11" s="264">
        <v>38.313000000000002</v>
      </c>
      <c r="G11" s="4"/>
    </row>
    <row r="12" spans="1:7" x14ac:dyDescent="0.25">
      <c r="A12" s="264">
        <v>29049</v>
      </c>
      <c r="B12" s="264" t="s">
        <v>398</v>
      </c>
      <c r="C12" s="264" t="s">
        <v>72</v>
      </c>
      <c r="D12" s="264" t="s">
        <v>1142</v>
      </c>
      <c r="E12" s="264">
        <v>72</v>
      </c>
      <c r="F12" s="264">
        <v>37.375</v>
      </c>
      <c r="G12" s="4"/>
    </row>
    <row r="13" spans="1:7" x14ac:dyDescent="0.25">
      <c r="A13" s="264">
        <v>26011</v>
      </c>
      <c r="B13" s="264" t="s">
        <v>77</v>
      </c>
      <c r="C13" s="264" t="s">
        <v>78</v>
      </c>
      <c r="D13" s="264" t="s">
        <v>1147</v>
      </c>
      <c r="E13" s="264">
        <v>32</v>
      </c>
      <c r="F13" s="264">
        <v>36</v>
      </c>
      <c r="G13" s="4"/>
    </row>
    <row r="14" spans="1:7" x14ac:dyDescent="0.25">
      <c r="A14" s="264">
        <v>25017</v>
      </c>
      <c r="B14" s="264" t="s">
        <v>503</v>
      </c>
      <c r="C14" s="264" t="s">
        <v>20</v>
      </c>
      <c r="D14" s="264" t="s">
        <v>1170</v>
      </c>
      <c r="E14" s="264">
        <v>40</v>
      </c>
      <c r="F14" s="264">
        <v>34</v>
      </c>
      <c r="G14" s="4"/>
    </row>
    <row r="15" spans="1:7" x14ac:dyDescent="0.25">
      <c r="A15" s="264">
        <v>23021</v>
      </c>
      <c r="B15" s="264" t="s">
        <v>444</v>
      </c>
      <c r="C15" s="264" t="s">
        <v>46</v>
      </c>
      <c r="D15" s="264" t="s">
        <v>1094</v>
      </c>
      <c r="E15" s="264">
        <v>63</v>
      </c>
      <c r="F15" s="264">
        <v>32.875</v>
      </c>
      <c r="G15" s="4"/>
    </row>
    <row r="16" spans="1:7" x14ac:dyDescent="0.25">
      <c r="A16" s="264">
        <v>99590</v>
      </c>
      <c r="B16" s="264" t="s">
        <v>279</v>
      </c>
      <c r="C16" s="264" t="s">
        <v>177</v>
      </c>
      <c r="D16" s="264" t="s">
        <v>680</v>
      </c>
      <c r="E16" s="264">
        <v>60</v>
      </c>
      <c r="F16" s="264">
        <v>32</v>
      </c>
      <c r="G16" s="4"/>
    </row>
    <row r="17" spans="1:7" x14ac:dyDescent="0.25">
      <c r="A17" s="264">
        <v>14060</v>
      </c>
      <c r="B17" s="264" t="s">
        <v>208</v>
      </c>
      <c r="C17" s="264" t="s">
        <v>67</v>
      </c>
      <c r="D17" s="264" t="s">
        <v>1147</v>
      </c>
      <c r="E17" s="264">
        <v>69</v>
      </c>
      <c r="F17" s="264">
        <v>30.75</v>
      </c>
      <c r="G17" s="4"/>
    </row>
    <row r="18" spans="1:7" x14ac:dyDescent="0.25">
      <c r="A18" s="264">
        <v>10163</v>
      </c>
      <c r="B18" s="264" t="s">
        <v>583</v>
      </c>
      <c r="C18" s="264" t="s">
        <v>98</v>
      </c>
      <c r="D18" s="264" t="s">
        <v>1506</v>
      </c>
      <c r="E18" s="264">
        <v>90</v>
      </c>
      <c r="F18" s="264">
        <v>30.564</v>
      </c>
      <c r="G18" s="4"/>
    </row>
    <row r="19" spans="1:7" x14ac:dyDescent="0.25">
      <c r="A19" s="264">
        <v>28050</v>
      </c>
      <c r="B19" s="264" t="s">
        <v>50</v>
      </c>
      <c r="C19" s="264" t="s">
        <v>33</v>
      </c>
      <c r="D19" s="264" t="s">
        <v>680</v>
      </c>
      <c r="E19" s="264">
        <v>101</v>
      </c>
      <c r="F19" s="264">
        <v>30.5</v>
      </c>
      <c r="G19" s="4"/>
    </row>
    <row r="20" spans="1:7" x14ac:dyDescent="0.25">
      <c r="A20" s="264">
        <v>96217</v>
      </c>
      <c r="B20" s="264" t="s">
        <v>183</v>
      </c>
      <c r="C20" s="264" t="s">
        <v>184</v>
      </c>
      <c r="D20" s="264" t="s">
        <v>1116</v>
      </c>
      <c r="E20" s="264">
        <v>108</v>
      </c>
      <c r="F20" s="264">
        <v>29.187999999999999</v>
      </c>
      <c r="G20" s="4"/>
    </row>
    <row r="21" spans="1:7" x14ac:dyDescent="0.25">
      <c r="A21" s="264">
        <v>12017</v>
      </c>
      <c r="B21" s="264" t="s">
        <v>560</v>
      </c>
      <c r="C21" s="264" t="s">
        <v>182</v>
      </c>
      <c r="D21" s="264" t="s">
        <v>1162</v>
      </c>
      <c r="E21" s="264">
        <v>86</v>
      </c>
      <c r="F21" s="264">
        <v>29.155999999999999</v>
      </c>
      <c r="G21" s="4"/>
    </row>
    <row r="22" spans="1:7" x14ac:dyDescent="0.25">
      <c r="A22" s="264">
        <v>25014</v>
      </c>
      <c r="B22" s="264" t="s">
        <v>419</v>
      </c>
      <c r="C22" s="264" t="s">
        <v>105</v>
      </c>
      <c r="D22" s="264" t="s">
        <v>1170</v>
      </c>
      <c r="E22" s="264">
        <v>77</v>
      </c>
      <c r="F22" s="264">
        <v>28.876000000000001</v>
      </c>
      <c r="G22" s="4"/>
    </row>
    <row r="23" spans="1:7" x14ac:dyDescent="0.25">
      <c r="A23" s="264">
        <v>12086</v>
      </c>
      <c r="B23" s="264" t="s">
        <v>1180</v>
      </c>
      <c r="C23" s="264" t="s">
        <v>46</v>
      </c>
      <c r="D23" s="264" t="s">
        <v>1142</v>
      </c>
      <c r="E23" s="264">
        <v>64</v>
      </c>
      <c r="F23" s="264">
        <v>28.625</v>
      </c>
      <c r="G23" s="4"/>
    </row>
    <row r="24" spans="1:7" x14ac:dyDescent="0.25">
      <c r="A24" s="264">
        <v>12070</v>
      </c>
      <c r="B24" s="264" t="s">
        <v>1197</v>
      </c>
      <c r="C24" s="264" t="s">
        <v>54</v>
      </c>
      <c r="D24" s="264" t="s">
        <v>1142</v>
      </c>
      <c r="E24" s="264">
        <v>100</v>
      </c>
      <c r="F24" s="264">
        <v>27.625</v>
      </c>
      <c r="G24" s="4"/>
    </row>
    <row r="25" spans="1:7" x14ac:dyDescent="0.25">
      <c r="A25" s="264">
        <v>29058</v>
      </c>
      <c r="B25" s="264" t="s">
        <v>334</v>
      </c>
      <c r="C25" s="264" t="s">
        <v>73</v>
      </c>
      <c r="D25" s="264" t="s">
        <v>1142</v>
      </c>
      <c r="E25" s="264">
        <v>80</v>
      </c>
      <c r="F25" s="264">
        <v>27.344000000000001</v>
      </c>
      <c r="G25" s="4"/>
    </row>
    <row r="26" spans="1:7" x14ac:dyDescent="0.25">
      <c r="A26" s="264">
        <v>23131</v>
      </c>
      <c r="B26" s="264" t="s">
        <v>161</v>
      </c>
      <c r="C26" s="264" t="s">
        <v>67</v>
      </c>
      <c r="D26" s="264" t="s">
        <v>1094</v>
      </c>
      <c r="E26" s="264">
        <v>55</v>
      </c>
      <c r="F26" s="264">
        <v>27.25</v>
      </c>
      <c r="G26" s="4"/>
    </row>
    <row r="27" spans="1:7" x14ac:dyDescent="0.25">
      <c r="A27" s="264">
        <v>21768</v>
      </c>
      <c r="B27" s="264" t="s">
        <v>473</v>
      </c>
      <c r="C27" s="264" t="s">
        <v>54</v>
      </c>
      <c r="D27" s="264" t="s">
        <v>680</v>
      </c>
      <c r="E27" s="264">
        <v>79</v>
      </c>
      <c r="F27" s="264">
        <v>27.062999999999999</v>
      </c>
      <c r="G27" s="4"/>
    </row>
    <row r="28" spans="1:7" x14ac:dyDescent="0.25">
      <c r="A28" s="264">
        <v>14079</v>
      </c>
      <c r="B28" s="264" t="s">
        <v>1668</v>
      </c>
      <c r="C28" s="264" t="s">
        <v>72</v>
      </c>
      <c r="D28" s="264" t="s">
        <v>1437</v>
      </c>
      <c r="E28" s="264">
        <v>107</v>
      </c>
      <c r="F28" s="264">
        <v>26.780999999999999</v>
      </c>
      <c r="G28" s="4"/>
    </row>
    <row r="29" spans="1:7" x14ac:dyDescent="0.25">
      <c r="A29" s="264">
        <v>15067</v>
      </c>
      <c r="B29" s="264" t="s">
        <v>1671</v>
      </c>
      <c r="C29" s="264" t="s">
        <v>1672</v>
      </c>
      <c r="D29" s="264" t="s">
        <v>1506</v>
      </c>
      <c r="E29" s="264">
        <v>124</v>
      </c>
      <c r="F29" s="264">
        <v>26.251000000000001</v>
      </c>
      <c r="G29" s="4"/>
    </row>
    <row r="30" spans="1:7" x14ac:dyDescent="0.25">
      <c r="A30" s="264">
        <v>23072</v>
      </c>
      <c r="B30" s="264" t="s">
        <v>475</v>
      </c>
      <c r="C30" s="264" t="s">
        <v>346</v>
      </c>
      <c r="D30" s="264" t="s">
        <v>680</v>
      </c>
      <c r="E30" s="264">
        <v>91</v>
      </c>
      <c r="F30" s="264">
        <v>25.562999999999999</v>
      </c>
      <c r="G30" s="4"/>
    </row>
    <row r="31" spans="1:7" x14ac:dyDescent="0.25">
      <c r="A31" s="264">
        <v>13044</v>
      </c>
      <c r="B31" s="264" t="s">
        <v>1270</v>
      </c>
      <c r="C31" s="264" t="s">
        <v>20</v>
      </c>
      <c r="D31" s="264" t="s">
        <v>1116</v>
      </c>
      <c r="E31" s="264">
        <v>115</v>
      </c>
      <c r="F31" s="264">
        <v>25.094000000000001</v>
      </c>
      <c r="G31" s="4"/>
    </row>
    <row r="32" spans="1:7" x14ac:dyDescent="0.25">
      <c r="A32" s="264">
        <v>12073</v>
      </c>
      <c r="B32" s="264" t="s">
        <v>1208</v>
      </c>
      <c r="C32" s="264" t="s">
        <v>1209</v>
      </c>
      <c r="D32" s="264" t="s">
        <v>1170</v>
      </c>
      <c r="E32" s="264">
        <v>102</v>
      </c>
      <c r="F32" s="264">
        <v>24.22</v>
      </c>
      <c r="G32" s="4"/>
    </row>
    <row r="33" spans="1:7" x14ac:dyDescent="0.25">
      <c r="A33" s="264">
        <v>25011</v>
      </c>
      <c r="B33" s="264" t="s">
        <v>273</v>
      </c>
      <c r="C33" s="264" t="s">
        <v>34</v>
      </c>
      <c r="D33" s="264" t="s">
        <v>1170</v>
      </c>
      <c r="E33" s="264">
        <v>134</v>
      </c>
      <c r="F33" s="264">
        <v>23.439</v>
      </c>
      <c r="G33" s="4"/>
    </row>
    <row r="34" spans="1:7" x14ac:dyDescent="0.25">
      <c r="A34" s="264">
        <v>96216</v>
      </c>
      <c r="B34" s="264" t="s">
        <v>375</v>
      </c>
      <c r="C34" s="264" t="s">
        <v>376</v>
      </c>
      <c r="D34" s="264" t="s">
        <v>1181</v>
      </c>
      <c r="E34" s="264">
        <v>166</v>
      </c>
      <c r="F34" s="264">
        <v>22.952999999999999</v>
      </c>
      <c r="G34" s="4"/>
    </row>
    <row r="35" spans="1:7" x14ac:dyDescent="0.25">
      <c r="A35" s="264">
        <v>10044</v>
      </c>
      <c r="B35" s="264" t="s">
        <v>355</v>
      </c>
      <c r="C35" s="264" t="s">
        <v>67</v>
      </c>
      <c r="D35" s="264" t="s">
        <v>168</v>
      </c>
      <c r="E35" s="264">
        <v>118</v>
      </c>
      <c r="F35" s="264">
        <v>22.172999999999998</v>
      </c>
      <c r="G35" s="4"/>
    </row>
    <row r="36" spans="1:7" x14ac:dyDescent="0.25">
      <c r="A36" s="264">
        <v>14074</v>
      </c>
      <c r="B36" s="264" t="s">
        <v>1486</v>
      </c>
      <c r="C36" s="264" t="s">
        <v>94</v>
      </c>
      <c r="D36" s="264" t="s">
        <v>1116</v>
      </c>
      <c r="E36" s="264">
        <v>163</v>
      </c>
      <c r="F36" s="264">
        <v>21.939</v>
      </c>
      <c r="G36" s="4"/>
    </row>
    <row r="37" spans="1:7" x14ac:dyDescent="0.25">
      <c r="A37" s="264">
        <v>15011</v>
      </c>
      <c r="B37" s="264" t="s">
        <v>110</v>
      </c>
      <c r="C37" s="264" t="s">
        <v>177</v>
      </c>
      <c r="D37" s="264" t="s">
        <v>1169</v>
      </c>
      <c r="E37" s="264">
        <v>141</v>
      </c>
      <c r="F37" s="264">
        <v>21.126999999999999</v>
      </c>
      <c r="G37" s="4"/>
    </row>
    <row r="38" spans="1:7" x14ac:dyDescent="0.25">
      <c r="A38" s="264">
        <v>12083</v>
      </c>
      <c r="B38" s="264" t="s">
        <v>1206</v>
      </c>
      <c r="C38" s="264" t="s">
        <v>228</v>
      </c>
      <c r="D38" s="264" t="s">
        <v>58</v>
      </c>
      <c r="E38" s="264">
        <v>150</v>
      </c>
      <c r="F38" s="264">
        <v>21.033000000000001</v>
      </c>
      <c r="G38" s="4"/>
    </row>
    <row r="39" spans="1:7" x14ac:dyDescent="0.25">
      <c r="A39" s="264">
        <v>12085</v>
      </c>
      <c r="B39" s="264" t="s">
        <v>1196</v>
      </c>
      <c r="C39" s="264" t="s">
        <v>18</v>
      </c>
      <c r="D39" s="264" t="s">
        <v>58</v>
      </c>
      <c r="E39" s="264">
        <v>162</v>
      </c>
      <c r="F39" s="264">
        <v>20.721</v>
      </c>
      <c r="G39" s="4"/>
    </row>
    <row r="40" spans="1:7" x14ac:dyDescent="0.25">
      <c r="A40" s="264">
        <v>12042</v>
      </c>
      <c r="B40" s="264" t="s">
        <v>469</v>
      </c>
      <c r="C40" s="264" t="s">
        <v>54</v>
      </c>
      <c r="D40" s="264" t="s">
        <v>58</v>
      </c>
      <c r="E40" s="264">
        <v>126</v>
      </c>
      <c r="F40" s="264">
        <v>19.626000000000001</v>
      </c>
      <c r="G40" s="4"/>
    </row>
    <row r="41" spans="1:7" x14ac:dyDescent="0.25">
      <c r="A41" s="264">
        <v>13027</v>
      </c>
      <c r="B41" s="264" t="s">
        <v>1177</v>
      </c>
      <c r="C41" s="264" t="s">
        <v>101</v>
      </c>
      <c r="D41" s="264" t="s">
        <v>1169</v>
      </c>
      <c r="E41" s="264">
        <v>128</v>
      </c>
      <c r="F41" s="264">
        <v>19.533000000000001</v>
      </c>
      <c r="G41" s="4"/>
    </row>
    <row r="42" spans="1:7" x14ac:dyDescent="0.25">
      <c r="A42" s="264">
        <v>15010</v>
      </c>
      <c r="B42" s="264" t="s">
        <v>1719</v>
      </c>
      <c r="C42" s="264" t="s">
        <v>1517</v>
      </c>
      <c r="D42" s="264" t="s">
        <v>1169</v>
      </c>
      <c r="E42" s="264">
        <v>176</v>
      </c>
      <c r="F42" s="264">
        <v>19.189</v>
      </c>
      <c r="G42" s="4"/>
    </row>
    <row r="43" spans="1:7" x14ac:dyDescent="0.25">
      <c r="A43" s="264">
        <v>13029</v>
      </c>
      <c r="B43" s="264" t="s">
        <v>1185</v>
      </c>
      <c r="C43" s="264" t="s">
        <v>15</v>
      </c>
      <c r="D43" s="264" t="s">
        <v>1169</v>
      </c>
      <c r="E43" s="264">
        <v>139</v>
      </c>
      <c r="F43" s="264">
        <v>18.876000000000001</v>
      </c>
      <c r="G43" s="4"/>
    </row>
    <row r="44" spans="1:7" x14ac:dyDescent="0.25">
      <c r="A44" s="264">
        <v>15065</v>
      </c>
      <c r="B44" s="264" t="s">
        <v>1605</v>
      </c>
      <c r="C44" s="264" t="s">
        <v>16</v>
      </c>
      <c r="D44" s="264" t="s">
        <v>1162</v>
      </c>
      <c r="E44" s="264">
        <v>142</v>
      </c>
      <c r="F44" s="264">
        <v>18.329000000000001</v>
      </c>
      <c r="G44" s="4"/>
    </row>
    <row r="45" spans="1:7" x14ac:dyDescent="0.25">
      <c r="A45" s="264">
        <v>14100</v>
      </c>
      <c r="B45" s="264" t="s">
        <v>1663</v>
      </c>
      <c r="C45" s="264" t="s">
        <v>112</v>
      </c>
      <c r="D45" s="264" t="s">
        <v>1142</v>
      </c>
      <c r="E45" s="264">
        <v>188</v>
      </c>
      <c r="F45" s="264">
        <v>17.782</v>
      </c>
      <c r="G45" s="4"/>
    </row>
    <row r="46" spans="1:7" x14ac:dyDescent="0.25">
      <c r="A46" s="264">
        <v>25075</v>
      </c>
      <c r="B46" s="264" t="s">
        <v>623</v>
      </c>
      <c r="C46" s="264" t="s">
        <v>32</v>
      </c>
      <c r="D46" s="264" t="s">
        <v>1170</v>
      </c>
      <c r="E46" s="264">
        <v>131</v>
      </c>
      <c r="F46" s="264">
        <v>17.751000000000001</v>
      </c>
      <c r="G46" s="4"/>
    </row>
    <row r="47" spans="1:7" x14ac:dyDescent="0.25">
      <c r="A47" s="264">
        <v>28051</v>
      </c>
      <c r="B47" s="264" t="s">
        <v>222</v>
      </c>
      <c r="C47" s="264" t="s">
        <v>223</v>
      </c>
      <c r="D47" s="264" t="s">
        <v>680</v>
      </c>
      <c r="E47" s="264">
        <v>157</v>
      </c>
      <c r="F47" s="264">
        <v>17.390999999999998</v>
      </c>
      <c r="G47" s="4"/>
    </row>
    <row r="48" spans="1:7" x14ac:dyDescent="0.25">
      <c r="A48" s="264">
        <v>11048</v>
      </c>
      <c r="B48" s="264" t="s">
        <v>431</v>
      </c>
      <c r="C48" s="264" t="s">
        <v>88</v>
      </c>
      <c r="D48" s="264" t="s">
        <v>1142</v>
      </c>
      <c r="E48" s="264">
        <v>184</v>
      </c>
      <c r="F48" s="264">
        <v>17.094000000000001</v>
      </c>
      <c r="G48" s="4"/>
    </row>
    <row r="49" spans="1:7" x14ac:dyDescent="0.25">
      <c r="A49" s="264">
        <v>10159</v>
      </c>
      <c r="B49" s="264" t="s">
        <v>581</v>
      </c>
      <c r="C49" s="264" t="s">
        <v>582</v>
      </c>
      <c r="D49" s="264" t="s">
        <v>1506</v>
      </c>
      <c r="E49" s="264">
        <v>207</v>
      </c>
      <c r="F49" s="264">
        <v>16.251999999999999</v>
      </c>
      <c r="G49" s="4"/>
    </row>
    <row r="50" spans="1:7" x14ac:dyDescent="0.25">
      <c r="A50" s="264">
        <v>12069</v>
      </c>
      <c r="B50" s="264" t="s">
        <v>1189</v>
      </c>
      <c r="C50" s="264" t="s">
        <v>39</v>
      </c>
      <c r="D50" s="264" t="s">
        <v>168</v>
      </c>
      <c r="E50" s="264">
        <v>195</v>
      </c>
      <c r="F50" s="264">
        <v>16.172000000000001</v>
      </c>
      <c r="G50" s="4"/>
    </row>
    <row r="51" spans="1:7" x14ac:dyDescent="0.25">
      <c r="A51" s="264">
        <v>15043</v>
      </c>
      <c r="B51" s="264" t="s">
        <v>1613</v>
      </c>
      <c r="C51" s="264" t="s">
        <v>448</v>
      </c>
      <c r="D51" s="264" t="s">
        <v>1162</v>
      </c>
      <c r="E51" s="264">
        <v>177</v>
      </c>
      <c r="F51" s="264">
        <v>14.831</v>
      </c>
      <c r="G51" s="4"/>
    </row>
    <row r="52" spans="1:7" x14ac:dyDescent="0.25">
      <c r="A52" s="264">
        <v>14081</v>
      </c>
      <c r="B52" s="264" t="s">
        <v>1445</v>
      </c>
      <c r="C52" s="264" t="s">
        <v>1188</v>
      </c>
      <c r="D52" s="264" t="s">
        <v>1437</v>
      </c>
      <c r="E52" s="264">
        <v>171</v>
      </c>
      <c r="F52" s="264">
        <v>14.766999999999999</v>
      </c>
      <c r="G52" s="4"/>
    </row>
    <row r="53" spans="1:7" x14ac:dyDescent="0.25">
      <c r="A53" s="264">
        <v>16010</v>
      </c>
      <c r="B53" s="264" t="s">
        <v>1697</v>
      </c>
      <c r="C53" s="264" t="s">
        <v>182</v>
      </c>
      <c r="D53" s="264" t="s">
        <v>1506</v>
      </c>
      <c r="E53" s="264">
        <v>209</v>
      </c>
      <c r="F53" s="264">
        <v>14.680999999999999</v>
      </c>
      <c r="G53" s="4"/>
    </row>
    <row r="54" spans="1:7" x14ac:dyDescent="0.25">
      <c r="A54" s="264">
        <v>15033</v>
      </c>
      <c r="B54" s="264" t="s">
        <v>1579</v>
      </c>
      <c r="C54" s="264" t="s">
        <v>67</v>
      </c>
      <c r="D54" s="264" t="s">
        <v>58</v>
      </c>
      <c r="E54" s="264">
        <v>216</v>
      </c>
      <c r="F54" s="264">
        <v>14.596</v>
      </c>
      <c r="G54" s="4"/>
    </row>
    <row r="55" spans="1:7" x14ac:dyDescent="0.25">
      <c r="A55" s="264">
        <v>25015</v>
      </c>
      <c r="B55" s="264" t="s">
        <v>421</v>
      </c>
      <c r="C55" s="264" t="s">
        <v>36</v>
      </c>
      <c r="D55" s="264" t="s">
        <v>1170</v>
      </c>
      <c r="E55" s="264">
        <v>164</v>
      </c>
      <c r="F55" s="264">
        <v>14.273999999999999</v>
      </c>
      <c r="G55" s="4"/>
    </row>
    <row r="56" spans="1:7" x14ac:dyDescent="0.25">
      <c r="A56" s="264">
        <v>23056</v>
      </c>
      <c r="B56" s="264" t="s">
        <v>392</v>
      </c>
      <c r="C56" s="264" t="s">
        <v>393</v>
      </c>
      <c r="D56" s="264" t="s">
        <v>1094</v>
      </c>
      <c r="E56" s="264">
        <v>165</v>
      </c>
      <c r="F56" s="264">
        <v>13.781000000000001</v>
      </c>
      <c r="G56" s="4"/>
    </row>
    <row r="57" spans="1:7" x14ac:dyDescent="0.25">
      <c r="A57" s="264">
        <v>14028</v>
      </c>
      <c r="B57" s="264" t="s">
        <v>1504</v>
      </c>
      <c r="C57" s="264" t="s">
        <v>1505</v>
      </c>
      <c r="D57" s="264" t="s">
        <v>1506</v>
      </c>
      <c r="E57" s="264">
        <v>205</v>
      </c>
      <c r="F57" s="264">
        <v>13.534000000000001</v>
      </c>
      <c r="G57" s="4"/>
    </row>
    <row r="58" spans="1:7" x14ac:dyDescent="0.25">
      <c r="A58" s="264">
        <v>29052</v>
      </c>
      <c r="B58" s="264" t="s">
        <v>452</v>
      </c>
      <c r="C58" s="264" t="s">
        <v>72</v>
      </c>
      <c r="D58" s="264" t="s">
        <v>1142</v>
      </c>
      <c r="E58" s="264">
        <v>296</v>
      </c>
      <c r="F58" s="264">
        <v>13.282</v>
      </c>
      <c r="G58" s="4"/>
    </row>
    <row r="59" spans="1:7" x14ac:dyDescent="0.25">
      <c r="A59" s="264">
        <v>15034</v>
      </c>
      <c r="B59" s="264" t="s">
        <v>1476</v>
      </c>
      <c r="C59" s="264" t="s">
        <v>1477</v>
      </c>
      <c r="D59" s="264" t="s">
        <v>58</v>
      </c>
      <c r="E59" s="264">
        <v>226</v>
      </c>
      <c r="F59" s="264">
        <v>13.188000000000001</v>
      </c>
      <c r="G59" s="4"/>
    </row>
    <row r="60" spans="1:7" x14ac:dyDescent="0.25">
      <c r="A60" s="264">
        <v>15028</v>
      </c>
      <c r="B60" s="264" t="s">
        <v>1709</v>
      </c>
      <c r="C60" s="264" t="s">
        <v>39</v>
      </c>
      <c r="D60" s="264" t="s">
        <v>1437</v>
      </c>
      <c r="E60" s="264">
        <v>187</v>
      </c>
      <c r="F60" s="264">
        <v>13.103999999999999</v>
      </c>
      <c r="G60" s="4"/>
    </row>
    <row r="61" spans="1:7" x14ac:dyDescent="0.25">
      <c r="A61" s="264">
        <v>14068</v>
      </c>
      <c r="B61" s="264" t="s">
        <v>1595</v>
      </c>
      <c r="C61" s="264" t="s">
        <v>109</v>
      </c>
      <c r="D61" s="264" t="s">
        <v>1506</v>
      </c>
      <c r="E61" s="264">
        <v>211</v>
      </c>
      <c r="F61" s="264">
        <v>12.909000000000001</v>
      </c>
      <c r="G61" s="4"/>
    </row>
    <row r="62" spans="1:7" x14ac:dyDescent="0.25">
      <c r="A62" s="264">
        <v>12079</v>
      </c>
      <c r="B62" s="264" t="s">
        <v>1204</v>
      </c>
      <c r="C62" s="264" t="s">
        <v>105</v>
      </c>
      <c r="D62" s="264" t="s">
        <v>58</v>
      </c>
      <c r="E62" s="264">
        <v>214</v>
      </c>
      <c r="F62" s="264">
        <v>12.5</v>
      </c>
      <c r="G62" s="4"/>
    </row>
    <row r="63" spans="1:7" x14ac:dyDescent="0.25">
      <c r="A63" s="264">
        <v>13083</v>
      </c>
      <c r="B63" s="264" t="s">
        <v>1533</v>
      </c>
      <c r="C63" s="264" t="s">
        <v>46</v>
      </c>
      <c r="D63" s="264" t="s">
        <v>1142</v>
      </c>
      <c r="E63" s="264">
        <v>268</v>
      </c>
      <c r="F63" s="264">
        <v>12.439</v>
      </c>
      <c r="G63" s="4"/>
    </row>
    <row r="64" spans="1:7" x14ac:dyDescent="0.25">
      <c r="A64" s="264">
        <v>14055</v>
      </c>
      <c r="B64" s="264" t="s">
        <v>544</v>
      </c>
      <c r="C64" s="264" t="s">
        <v>54</v>
      </c>
      <c r="D64" s="264" t="s">
        <v>168</v>
      </c>
      <c r="E64" s="264">
        <v>204</v>
      </c>
      <c r="F64" s="264">
        <v>12.196</v>
      </c>
      <c r="G64" s="4"/>
    </row>
    <row r="65" spans="1:7" x14ac:dyDescent="0.25">
      <c r="A65" s="264">
        <v>15064</v>
      </c>
      <c r="B65" s="264" t="s">
        <v>1610</v>
      </c>
      <c r="C65" s="264" t="s">
        <v>12</v>
      </c>
      <c r="D65" s="264" t="s">
        <v>1142</v>
      </c>
      <c r="E65" s="264">
        <v>232</v>
      </c>
      <c r="F65" s="264">
        <v>11.877000000000001</v>
      </c>
      <c r="G65" s="4"/>
    </row>
    <row r="66" spans="1:7" x14ac:dyDescent="0.25">
      <c r="A66" s="264">
        <v>12031</v>
      </c>
      <c r="B66" s="264" t="s">
        <v>329</v>
      </c>
      <c r="C66" s="264" t="s">
        <v>330</v>
      </c>
      <c r="D66" s="264" t="s">
        <v>58</v>
      </c>
      <c r="E66" s="264">
        <v>279</v>
      </c>
      <c r="F66" s="264">
        <v>11.15</v>
      </c>
      <c r="G66" s="4"/>
    </row>
    <row r="67" spans="1:7" x14ac:dyDescent="0.25">
      <c r="A67" s="264">
        <v>12080</v>
      </c>
      <c r="B67" s="264" t="s">
        <v>1192</v>
      </c>
      <c r="C67" s="264" t="s">
        <v>101</v>
      </c>
      <c r="D67" s="264" t="s">
        <v>58</v>
      </c>
      <c r="E67" s="264">
        <v>261</v>
      </c>
      <c r="F67" s="264">
        <v>10.4</v>
      </c>
      <c r="G67" s="4"/>
    </row>
    <row r="68" spans="1:7" x14ac:dyDescent="0.25">
      <c r="A68" s="264">
        <v>12035</v>
      </c>
      <c r="B68" s="264" t="s">
        <v>221</v>
      </c>
      <c r="C68" s="264" t="s">
        <v>101</v>
      </c>
      <c r="D68" s="264" t="s">
        <v>58</v>
      </c>
      <c r="E68" s="264">
        <v>275</v>
      </c>
      <c r="F68" s="264">
        <v>10.250999999999999</v>
      </c>
      <c r="G68" s="4"/>
    </row>
    <row r="69" spans="1:7" x14ac:dyDescent="0.25">
      <c r="A69" s="264">
        <v>16059</v>
      </c>
      <c r="B69" s="264" t="s">
        <v>641</v>
      </c>
      <c r="C69" s="264" t="s">
        <v>34</v>
      </c>
      <c r="D69" s="264" t="s">
        <v>1524</v>
      </c>
      <c r="E69" s="264">
        <v>332</v>
      </c>
      <c r="F69" s="264">
        <v>8.4920000000000009</v>
      </c>
      <c r="G69" s="4"/>
    </row>
    <row r="70" spans="1:7" x14ac:dyDescent="0.25">
      <c r="A70" s="264">
        <v>13079</v>
      </c>
      <c r="B70" s="264" t="s">
        <v>29</v>
      </c>
      <c r="C70" s="264" t="s">
        <v>32</v>
      </c>
      <c r="D70" s="264" t="s">
        <v>1162</v>
      </c>
      <c r="E70" s="264">
        <v>348</v>
      </c>
      <c r="F70" s="264">
        <v>8.4079999999999995</v>
      </c>
      <c r="G70" s="4"/>
    </row>
    <row r="71" spans="1:7" x14ac:dyDescent="0.25">
      <c r="A71" s="264">
        <v>14049</v>
      </c>
      <c r="B71" s="264" t="s">
        <v>414</v>
      </c>
      <c r="C71" s="264" t="s">
        <v>92</v>
      </c>
      <c r="D71" s="264" t="s">
        <v>1169</v>
      </c>
      <c r="E71" s="264">
        <v>263</v>
      </c>
      <c r="F71" s="264">
        <v>8.2810000000000006</v>
      </c>
      <c r="G71" s="4"/>
    </row>
    <row r="72" spans="1:7" x14ac:dyDescent="0.25">
      <c r="A72" s="264">
        <v>15031</v>
      </c>
      <c r="B72" s="264" t="s">
        <v>1489</v>
      </c>
      <c r="C72" s="264" t="s">
        <v>265</v>
      </c>
      <c r="D72" s="264" t="s">
        <v>58</v>
      </c>
      <c r="E72" s="264">
        <v>334</v>
      </c>
      <c r="F72" s="264">
        <v>8.2119999999999997</v>
      </c>
      <c r="G72" s="4"/>
    </row>
    <row r="73" spans="1:7" x14ac:dyDescent="0.25">
      <c r="A73" s="264">
        <v>96162</v>
      </c>
      <c r="B73" s="264" t="s">
        <v>180</v>
      </c>
      <c r="C73" s="264" t="s">
        <v>78</v>
      </c>
      <c r="D73" s="264" t="s">
        <v>1181</v>
      </c>
      <c r="E73" s="264">
        <v>416</v>
      </c>
      <c r="F73" s="264">
        <v>7.8280000000000003</v>
      </c>
      <c r="G73" s="4"/>
    </row>
    <row r="74" spans="1:7" x14ac:dyDescent="0.25">
      <c r="A74" s="264">
        <v>15042</v>
      </c>
      <c r="B74" s="264" t="s">
        <v>35</v>
      </c>
      <c r="C74" s="264" t="s">
        <v>18</v>
      </c>
      <c r="D74" s="264" t="s">
        <v>1162</v>
      </c>
      <c r="E74" s="264">
        <v>349</v>
      </c>
      <c r="F74" s="264">
        <v>7.47</v>
      </c>
      <c r="G74" s="4"/>
    </row>
    <row r="75" spans="1:7" x14ac:dyDescent="0.25">
      <c r="A75" s="264">
        <v>16058</v>
      </c>
      <c r="B75" s="264" t="s">
        <v>1599</v>
      </c>
      <c r="C75" s="264" t="s">
        <v>67</v>
      </c>
      <c r="D75" s="264" t="s">
        <v>1524</v>
      </c>
      <c r="E75" s="264">
        <v>298</v>
      </c>
      <c r="F75" s="264">
        <v>7.3680000000000003</v>
      </c>
      <c r="G75" s="4"/>
    </row>
    <row r="76" spans="1:7" x14ac:dyDescent="0.25">
      <c r="A76" s="264">
        <v>16086</v>
      </c>
      <c r="B76" s="264" t="s">
        <v>1618</v>
      </c>
      <c r="C76" s="264" t="s">
        <v>33</v>
      </c>
      <c r="D76" s="264" t="s">
        <v>1441</v>
      </c>
      <c r="E76" s="264">
        <v>397</v>
      </c>
      <c r="F76" s="264">
        <v>7.3049999999999997</v>
      </c>
      <c r="G76" s="4"/>
    </row>
    <row r="77" spans="1:7" x14ac:dyDescent="0.25">
      <c r="A77" s="264">
        <v>16060</v>
      </c>
      <c r="B77" s="264" t="s">
        <v>1566</v>
      </c>
      <c r="C77" s="264" t="s">
        <v>33</v>
      </c>
      <c r="D77" s="264" t="s">
        <v>1524</v>
      </c>
      <c r="E77" s="264">
        <v>280</v>
      </c>
      <c r="F77" s="264">
        <v>7.282</v>
      </c>
      <c r="G77" s="4"/>
    </row>
    <row r="78" spans="1:7" x14ac:dyDescent="0.25">
      <c r="A78" s="264">
        <v>15026</v>
      </c>
      <c r="B78" s="264" t="s">
        <v>641</v>
      </c>
      <c r="C78" s="264" t="s">
        <v>46</v>
      </c>
      <c r="D78" s="264" t="s">
        <v>1142</v>
      </c>
      <c r="E78" s="264">
        <v>293</v>
      </c>
      <c r="F78" s="264">
        <v>6.4859999999999998</v>
      </c>
      <c r="G78" s="4"/>
    </row>
    <row r="79" spans="1:7" x14ac:dyDescent="0.25">
      <c r="A79" s="264">
        <v>15069</v>
      </c>
      <c r="B79" s="264" t="s">
        <v>1635</v>
      </c>
      <c r="C79" s="264" t="s">
        <v>80</v>
      </c>
      <c r="D79" s="264" t="s">
        <v>1169</v>
      </c>
      <c r="E79" s="264">
        <v>304</v>
      </c>
      <c r="F79" s="264">
        <v>6.4370000000000003</v>
      </c>
      <c r="G79" s="4"/>
    </row>
    <row r="80" spans="1:7" x14ac:dyDescent="0.25">
      <c r="A80" s="264">
        <v>96163</v>
      </c>
      <c r="B80" s="264" t="s">
        <v>181</v>
      </c>
      <c r="C80" s="264" t="s">
        <v>182</v>
      </c>
      <c r="D80" s="264" t="s">
        <v>1181</v>
      </c>
      <c r="E80" s="264">
        <v>451</v>
      </c>
      <c r="F80" s="264">
        <v>6.3280000000000003</v>
      </c>
      <c r="G80" s="4"/>
    </row>
    <row r="81" spans="1:7" x14ac:dyDescent="0.25">
      <c r="A81" s="264">
        <v>16077</v>
      </c>
      <c r="B81" s="264" t="s">
        <v>1512</v>
      </c>
      <c r="C81" s="264" t="s">
        <v>16</v>
      </c>
      <c r="D81" s="264" t="s">
        <v>1441</v>
      </c>
      <c r="E81" s="264">
        <v>390</v>
      </c>
      <c r="F81" s="264">
        <v>6.3049999999999997</v>
      </c>
      <c r="G81" s="4"/>
    </row>
    <row r="82" spans="1:7" x14ac:dyDescent="0.25">
      <c r="A82" s="264">
        <v>29060</v>
      </c>
      <c r="B82" s="264" t="s">
        <v>159</v>
      </c>
      <c r="C82" s="264" t="s">
        <v>1481</v>
      </c>
      <c r="D82" s="264" t="s">
        <v>1142</v>
      </c>
      <c r="E82" s="264">
        <v>440</v>
      </c>
      <c r="F82" s="264">
        <v>6.282</v>
      </c>
      <c r="G82" s="4"/>
    </row>
    <row r="83" spans="1:7" x14ac:dyDescent="0.25">
      <c r="A83" s="264">
        <v>15032</v>
      </c>
      <c r="B83" s="264" t="s">
        <v>1488</v>
      </c>
      <c r="C83" s="264" t="s">
        <v>223</v>
      </c>
      <c r="D83" s="264" t="s">
        <v>58</v>
      </c>
      <c r="E83" s="264">
        <v>378</v>
      </c>
      <c r="F83" s="264">
        <v>5.8680000000000003</v>
      </c>
      <c r="G83" s="4"/>
    </row>
    <row r="84" spans="1:7" x14ac:dyDescent="0.25">
      <c r="A84" s="264">
        <v>16118</v>
      </c>
      <c r="B84" s="264" t="s">
        <v>1716</v>
      </c>
      <c r="C84" s="264" t="s">
        <v>94</v>
      </c>
      <c r="D84" s="264" t="s">
        <v>1437</v>
      </c>
      <c r="E84" s="264">
        <v>259</v>
      </c>
      <c r="F84" s="264">
        <v>5.5869999999999997</v>
      </c>
      <c r="G84" s="4"/>
    </row>
    <row r="85" spans="1:7" x14ac:dyDescent="0.25">
      <c r="A85" s="264">
        <v>11047</v>
      </c>
      <c r="B85" s="264" t="s">
        <v>362</v>
      </c>
      <c r="C85" s="264" t="s">
        <v>34</v>
      </c>
      <c r="D85" s="264" t="s">
        <v>168</v>
      </c>
      <c r="E85" s="264">
        <v>443</v>
      </c>
      <c r="F85" s="264">
        <v>5.4690000000000003</v>
      </c>
      <c r="G85" s="4"/>
    </row>
    <row r="86" spans="1:7" x14ac:dyDescent="0.25">
      <c r="A86" s="264">
        <v>16085</v>
      </c>
      <c r="B86" s="264" t="s">
        <v>1615</v>
      </c>
      <c r="C86" s="264" t="s">
        <v>15</v>
      </c>
      <c r="D86" s="264" t="s">
        <v>1441</v>
      </c>
      <c r="E86" s="264">
        <v>456</v>
      </c>
      <c r="F86" s="264">
        <v>5.1020000000000003</v>
      </c>
      <c r="G86" s="4"/>
    </row>
    <row r="87" spans="1:7" x14ac:dyDescent="0.25">
      <c r="A87" s="264">
        <v>16109</v>
      </c>
      <c r="B87" s="264" t="s">
        <v>1739</v>
      </c>
      <c r="C87" s="264" t="s">
        <v>1565</v>
      </c>
      <c r="D87" s="264" t="s">
        <v>1169</v>
      </c>
      <c r="E87" s="264">
        <v>358</v>
      </c>
      <c r="F87" s="264">
        <v>4.68</v>
      </c>
      <c r="G87" s="4"/>
    </row>
    <row r="88" spans="1:7" x14ac:dyDescent="0.25">
      <c r="A88" s="264">
        <v>29053</v>
      </c>
      <c r="B88" s="264" t="s">
        <v>243</v>
      </c>
      <c r="C88" s="264" t="s">
        <v>54</v>
      </c>
      <c r="D88" s="264" t="s">
        <v>1142</v>
      </c>
      <c r="E88" s="264">
        <v>413</v>
      </c>
      <c r="F88" s="264">
        <v>4.5019999999999998</v>
      </c>
      <c r="G88" s="4"/>
    </row>
    <row r="89" spans="1:7" x14ac:dyDescent="0.25">
      <c r="A89" s="264">
        <v>16006</v>
      </c>
      <c r="B89" s="264" t="s">
        <v>1639</v>
      </c>
      <c r="C89" s="264" t="s">
        <v>204</v>
      </c>
      <c r="D89" s="264" t="s">
        <v>1169</v>
      </c>
      <c r="E89" s="264">
        <v>352</v>
      </c>
      <c r="F89" s="264">
        <v>3.8279999999999998</v>
      </c>
      <c r="G89" s="4"/>
    </row>
    <row r="90" spans="1:7" x14ac:dyDescent="0.25">
      <c r="A90" s="264">
        <v>14005</v>
      </c>
      <c r="B90" s="264" t="s">
        <v>1654</v>
      </c>
      <c r="C90" s="264" t="s">
        <v>24</v>
      </c>
      <c r="D90" s="264" t="s">
        <v>168</v>
      </c>
      <c r="E90" s="264">
        <v>503</v>
      </c>
      <c r="F90" s="264">
        <v>2.9689999999999999</v>
      </c>
      <c r="G90" s="4"/>
    </row>
    <row r="91" spans="1:7" x14ac:dyDescent="0.25">
      <c r="A91" s="264">
        <v>16075</v>
      </c>
      <c r="B91" s="264" t="s">
        <v>1507</v>
      </c>
      <c r="C91" s="264" t="s">
        <v>67</v>
      </c>
      <c r="D91" s="264" t="s">
        <v>1441</v>
      </c>
      <c r="E91" s="264">
        <v>491</v>
      </c>
      <c r="F91" s="264">
        <v>2.9689999999999999</v>
      </c>
      <c r="G91" s="4"/>
    </row>
    <row r="92" spans="1:7" x14ac:dyDescent="0.25">
      <c r="A92" s="264">
        <v>16082</v>
      </c>
      <c r="B92" s="264" t="s">
        <v>1607</v>
      </c>
      <c r="C92" s="264" t="s">
        <v>67</v>
      </c>
      <c r="D92" s="264" t="s">
        <v>1441</v>
      </c>
      <c r="E92" s="264">
        <v>455</v>
      </c>
      <c r="F92" s="264">
        <v>2.5630000000000002</v>
      </c>
      <c r="G92" s="4"/>
    </row>
    <row r="93" spans="1:7" x14ac:dyDescent="0.25">
      <c r="A93" s="264">
        <v>29051</v>
      </c>
      <c r="B93" s="264" t="s">
        <v>159</v>
      </c>
      <c r="C93" s="264" t="s">
        <v>24</v>
      </c>
      <c r="D93" s="264" t="s">
        <v>1142</v>
      </c>
      <c r="E93" s="264">
        <v>480</v>
      </c>
      <c r="F93" s="264">
        <v>2.1259999999999999</v>
      </c>
      <c r="G93" s="4"/>
    </row>
    <row r="94" spans="1:7" x14ac:dyDescent="0.25">
      <c r="A94" s="264">
        <v>16108</v>
      </c>
      <c r="B94" s="264" t="s">
        <v>1717</v>
      </c>
      <c r="C94" s="264" t="s">
        <v>1718</v>
      </c>
      <c r="D94" s="264" t="s">
        <v>1181</v>
      </c>
      <c r="E94" s="264">
        <v>411</v>
      </c>
      <c r="F94" s="264">
        <v>2</v>
      </c>
      <c r="G94" s="4"/>
    </row>
    <row r="95" spans="1:7" x14ac:dyDescent="0.25">
      <c r="A95" s="264">
        <v>16117</v>
      </c>
      <c r="B95" s="264" t="s">
        <v>544</v>
      </c>
      <c r="C95" s="264" t="s">
        <v>105</v>
      </c>
      <c r="D95" s="264" t="s">
        <v>168</v>
      </c>
      <c r="E95" s="264">
        <v>414</v>
      </c>
      <c r="F95" s="264">
        <v>1.9850000000000001</v>
      </c>
      <c r="G95" s="4"/>
    </row>
    <row r="96" spans="1:7" x14ac:dyDescent="0.25">
      <c r="A96" s="264">
        <v>16089</v>
      </c>
      <c r="B96" s="264" t="s">
        <v>1710</v>
      </c>
      <c r="C96" s="264" t="s">
        <v>1711</v>
      </c>
      <c r="D96" s="264" t="s">
        <v>1441</v>
      </c>
      <c r="E96" s="264">
        <v>527</v>
      </c>
      <c r="F96" s="264">
        <v>1.5940000000000001</v>
      </c>
      <c r="G96" s="4"/>
    </row>
    <row r="97" spans="1:7" x14ac:dyDescent="0.25">
      <c r="A97" s="264">
        <v>16064</v>
      </c>
      <c r="B97" s="264" t="s">
        <v>1523</v>
      </c>
      <c r="C97" s="264" t="s">
        <v>96</v>
      </c>
      <c r="D97" s="264" t="s">
        <v>1524</v>
      </c>
      <c r="E97" s="264">
        <v>602</v>
      </c>
      <c r="F97" s="264">
        <v>1</v>
      </c>
      <c r="G97" s="4"/>
    </row>
    <row r="98" spans="1:7" x14ac:dyDescent="0.25">
      <c r="A98" s="264">
        <v>16090</v>
      </c>
      <c r="B98" s="264" t="s">
        <v>1712</v>
      </c>
      <c r="C98" s="264" t="s">
        <v>109</v>
      </c>
      <c r="D98" s="264" t="s">
        <v>1441</v>
      </c>
      <c r="E98" s="264">
        <v>640</v>
      </c>
      <c r="F98" s="264">
        <v>0.95299999999999996</v>
      </c>
      <c r="G98" s="4"/>
    </row>
    <row r="99" spans="1:7" x14ac:dyDescent="0.25">
      <c r="A99" s="264">
        <v>13028</v>
      </c>
      <c r="B99" s="264" t="s">
        <v>1183</v>
      </c>
      <c r="C99" s="264" t="s">
        <v>78</v>
      </c>
      <c r="D99" s="264" t="s">
        <v>1169</v>
      </c>
      <c r="E99" s="264">
        <v>621</v>
      </c>
      <c r="F99" s="264">
        <v>0.84399999999999997</v>
      </c>
      <c r="G99" s="4"/>
    </row>
    <row r="100" spans="1:7" x14ac:dyDescent="0.25">
      <c r="A100" s="264">
        <v>16076</v>
      </c>
      <c r="B100" s="264" t="s">
        <v>1508</v>
      </c>
      <c r="C100" s="264" t="s">
        <v>36</v>
      </c>
      <c r="D100" s="264" t="s">
        <v>1441</v>
      </c>
      <c r="E100" s="264">
        <v>526</v>
      </c>
      <c r="F100" s="264">
        <v>0.76600000000000001</v>
      </c>
      <c r="G100" s="4"/>
    </row>
    <row r="101" spans="1:7" x14ac:dyDescent="0.25">
      <c r="A101" s="264">
        <v>29054</v>
      </c>
      <c r="B101" s="264" t="s">
        <v>566</v>
      </c>
      <c r="C101" s="264" t="s">
        <v>16</v>
      </c>
      <c r="D101" s="264" t="s">
        <v>1142</v>
      </c>
      <c r="E101" s="264">
        <v>645</v>
      </c>
      <c r="F101" s="264">
        <v>0.65600000000000003</v>
      </c>
      <c r="G101" s="4"/>
    </row>
    <row r="102" spans="1:7" x14ac:dyDescent="0.25">
      <c r="A102" s="264">
        <v>16072</v>
      </c>
      <c r="B102" s="264" t="s">
        <v>1492</v>
      </c>
      <c r="C102" s="264" t="s">
        <v>120</v>
      </c>
      <c r="D102" s="264" t="s">
        <v>1441</v>
      </c>
      <c r="E102" s="264">
        <v>586</v>
      </c>
      <c r="F102" s="264">
        <v>0.313</v>
      </c>
      <c r="G102" s="4"/>
    </row>
    <row r="103" spans="1:7" x14ac:dyDescent="0.25">
      <c r="A103" s="264" t="s">
        <v>2005</v>
      </c>
      <c r="B103" s="264" t="s">
        <v>2003</v>
      </c>
      <c r="C103" s="264" t="s">
        <v>1054</v>
      </c>
      <c r="D103" s="264" t="s">
        <v>1054</v>
      </c>
      <c r="E103" s="264">
        <v>9999</v>
      </c>
      <c r="F103" s="264">
        <v>0</v>
      </c>
      <c r="G103" s="4"/>
    </row>
    <row r="104" spans="1:7" x14ac:dyDescent="0.25">
      <c r="A104" s="264" t="s">
        <v>2005</v>
      </c>
      <c r="B104" s="264" t="s">
        <v>1955</v>
      </c>
      <c r="C104" s="264" t="s">
        <v>1054</v>
      </c>
      <c r="D104" s="264" t="s">
        <v>1054</v>
      </c>
      <c r="E104" s="264">
        <v>9999</v>
      </c>
      <c r="F104" s="264">
        <v>0</v>
      </c>
      <c r="G104" s="4"/>
    </row>
    <row r="105" spans="1:7" x14ac:dyDescent="0.25">
      <c r="A105" s="264" t="s">
        <v>2005</v>
      </c>
      <c r="B105" s="264" t="s">
        <v>1054</v>
      </c>
      <c r="C105" s="264" t="s">
        <v>1054</v>
      </c>
      <c r="D105" s="264" t="s">
        <v>1054</v>
      </c>
      <c r="E105" s="264">
        <v>9999</v>
      </c>
      <c r="F105" s="264">
        <v>0</v>
      </c>
      <c r="G105" s="4"/>
    </row>
    <row r="106" spans="1:7" x14ac:dyDescent="0.25">
      <c r="A106" s="264" t="s">
        <v>2005</v>
      </c>
      <c r="B106" s="264" t="s">
        <v>1054</v>
      </c>
      <c r="C106" s="264" t="s">
        <v>1054</v>
      </c>
      <c r="D106" s="264" t="s">
        <v>1054</v>
      </c>
      <c r="E106" s="264">
        <v>9999</v>
      </c>
      <c r="F106" s="264">
        <v>0</v>
      </c>
      <c r="G106" s="4"/>
    </row>
    <row r="107" spans="1:7" x14ac:dyDescent="0.25">
      <c r="A107" s="264" t="s">
        <v>2005</v>
      </c>
      <c r="B107" s="264" t="s">
        <v>1054</v>
      </c>
      <c r="C107" s="264" t="s">
        <v>1054</v>
      </c>
      <c r="D107" s="264" t="s">
        <v>1054</v>
      </c>
      <c r="E107" s="264">
        <v>9999</v>
      </c>
      <c r="F107" s="264">
        <v>0</v>
      </c>
      <c r="G107" s="4"/>
    </row>
    <row r="108" spans="1:7" x14ac:dyDescent="0.25">
      <c r="A108" s="264" t="s">
        <v>2005</v>
      </c>
      <c r="B108" s="264" t="s">
        <v>1054</v>
      </c>
      <c r="C108" s="264" t="s">
        <v>1054</v>
      </c>
      <c r="D108" s="264" t="s">
        <v>1054</v>
      </c>
      <c r="E108" s="264">
        <v>9999</v>
      </c>
      <c r="F108" s="264">
        <v>0</v>
      </c>
      <c r="G108" s="4"/>
    </row>
    <row r="109" spans="1:7" x14ac:dyDescent="0.25">
      <c r="A109" s="264" t="s">
        <v>2005</v>
      </c>
      <c r="B109" s="264" t="s">
        <v>1054</v>
      </c>
      <c r="C109" s="264" t="s">
        <v>1054</v>
      </c>
      <c r="D109" s="264" t="s">
        <v>1054</v>
      </c>
      <c r="E109" s="264">
        <v>9999</v>
      </c>
      <c r="F109" s="264">
        <v>0</v>
      </c>
      <c r="G109" s="4"/>
    </row>
    <row r="110" spans="1:7" x14ac:dyDescent="0.25">
      <c r="A110" s="264" t="s">
        <v>2005</v>
      </c>
      <c r="B110" s="264" t="s">
        <v>1054</v>
      </c>
      <c r="C110" s="264" t="s">
        <v>1054</v>
      </c>
      <c r="D110" s="264" t="s">
        <v>1054</v>
      </c>
      <c r="E110" s="264">
        <v>9999</v>
      </c>
      <c r="F110" s="264">
        <v>0</v>
      </c>
      <c r="G110" s="4"/>
    </row>
    <row r="111" spans="1:7" x14ac:dyDescent="0.25">
      <c r="A111" s="264" t="s">
        <v>2005</v>
      </c>
      <c r="B111" s="264" t="s">
        <v>1054</v>
      </c>
      <c r="C111" s="264" t="s">
        <v>1054</v>
      </c>
      <c r="D111" s="264" t="s">
        <v>1054</v>
      </c>
      <c r="E111" s="264">
        <v>9999</v>
      </c>
      <c r="F111" s="264">
        <v>0</v>
      </c>
      <c r="G111" s="4"/>
    </row>
    <row r="112" spans="1:7" x14ac:dyDescent="0.25">
      <c r="A112" s="264" t="s">
        <v>2005</v>
      </c>
      <c r="B112" s="264" t="s">
        <v>1054</v>
      </c>
      <c r="C112" s="264" t="s">
        <v>1054</v>
      </c>
      <c r="D112" s="264" t="s">
        <v>1054</v>
      </c>
      <c r="E112" s="264">
        <v>9999</v>
      </c>
      <c r="F112" s="264">
        <v>0</v>
      </c>
      <c r="G112" s="4"/>
    </row>
    <row r="113" spans="1:7" x14ac:dyDescent="0.25">
      <c r="A113" s="264" t="s">
        <v>2005</v>
      </c>
      <c r="B113" s="264" t="s">
        <v>1054</v>
      </c>
      <c r="C113" s="264" t="s">
        <v>1054</v>
      </c>
      <c r="D113" s="264" t="s">
        <v>1054</v>
      </c>
      <c r="E113" s="264">
        <v>9999</v>
      </c>
      <c r="F113" s="264">
        <v>0</v>
      </c>
      <c r="G113" s="4"/>
    </row>
    <row r="114" spans="1:7" x14ac:dyDescent="0.25">
      <c r="A114" s="264" t="s">
        <v>2005</v>
      </c>
      <c r="B114" s="264" t="s">
        <v>1054</v>
      </c>
      <c r="C114" s="264" t="s">
        <v>1054</v>
      </c>
      <c r="D114" s="264" t="s">
        <v>1054</v>
      </c>
      <c r="E114" s="264">
        <v>9999</v>
      </c>
      <c r="F114" s="264">
        <v>0</v>
      </c>
      <c r="G114" s="4"/>
    </row>
    <row r="115" spans="1:7" x14ac:dyDescent="0.25">
      <c r="A115" s="264" t="s">
        <v>2005</v>
      </c>
      <c r="B115" s="264" t="s">
        <v>1054</v>
      </c>
      <c r="C115" s="264" t="s">
        <v>1054</v>
      </c>
      <c r="D115" s="264" t="s">
        <v>1054</v>
      </c>
      <c r="E115" s="264">
        <v>9999</v>
      </c>
      <c r="F115" s="264">
        <v>0</v>
      </c>
      <c r="G115" s="4"/>
    </row>
    <row r="116" spans="1:7" x14ac:dyDescent="0.25">
      <c r="A116" s="264" t="s">
        <v>2005</v>
      </c>
      <c r="B116" s="264" t="s">
        <v>1054</v>
      </c>
      <c r="C116" s="264" t="s">
        <v>1054</v>
      </c>
      <c r="D116" s="264" t="s">
        <v>1054</v>
      </c>
      <c r="E116" s="264">
        <v>9999</v>
      </c>
      <c r="F116" s="264">
        <v>0</v>
      </c>
      <c r="G116" s="4"/>
    </row>
    <row r="117" spans="1:7" x14ac:dyDescent="0.25">
      <c r="A117" s="264" t="s">
        <v>2005</v>
      </c>
      <c r="B117" s="264" t="s">
        <v>1054</v>
      </c>
      <c r="C117" s="264" t="s">
        <v>1054</v>
      </c>
      <c r="D117" s="264" t="s">
        <v>1054</v>
      </c>
      <c r="E117" s="264">
        <v>9999</v>
      </c>
      <c r="F117" s="264">
        <v>0</v>
      </c>
      <c r="G117" s="4"/>
    </row>
    <row r="118" spans="1:7" x14ac:dyDescent="0.25">
      <c r="A118" s="264" t="s">
        <v>2005</v>
      </c>
      <c r="B118" s="264" t="s">
        <v>1054</v>
      </c>
      <c r="C118" s="264" t="s">
        <v>1054</v>
      </c>
      <c r="D118" s="264" t="s">
        <v>1054</v>
      </c>
      <c r="E118" s="264">
        <v>9999</v>
      </c>
      <c r="F118" s="264">
        <v>0</v>
      </c>
      <c r="G118" s="4"/>
    </row>
    <row r="119" spans="1:7" x14ac:dyDescent="0.25">
      <c r="A119" s="264" t="s">
        <v>2005</v>
      </c>
      <c r="B119" s="264" t="s">
        <v>1054</v>
      </c>
      <c r="C119" s="264" t="s">
        <v>1054</v>
      </c>
      <c r="D119" s="264" t="s">
        <v>1054</v>
      </c>
      <c r="E119" s="264">
        <v>9999</v>
      </c>
      <c r="F119" s="264">
        <v>0</v>
      </c>
      <c r="G119" s="4"/>
    </row>
    <row r="120" spans="1:7" x14ac:dyDescent="0.25">
      <c r="A120" s="264" t="s">
        <v>2005</v>
      </c>
      <c r="B120" s="264" t="s">
        <v>1054</v>
      </c>
      <c r="C120" s="264" t="s">
        <v>1054</v>
      </c>
      <c r="D120" s="264" t="s">
        <v>1054</v>
      </c>
      <c r="E120" s="264">
        <v>9999</v>
      </c>
      <c r="F120" s="264">
        <v>0</v>
      </c>
      <c r="G120" s="4"/>
    </row>
    <row r="121" spans="1:7" x14ac:dyDescent="0.25">
      <c r="A121" s="264" t="s">
        <v>2005</v>
      </c>
      <c r="B121" s="264" t="s">
        <v>1054</v>
      </c>
      <c r="C121" s="264" t="s">
        <v>1054</v>
      </c>
      <c r="D121" s="264" t="s">
        <v>1054</v>
      </c>
      <c r="E121" s="264">
        <v>9999</v>
      </c>
      <c r="F121" s="264">
        <v>0</v>
      </c>
      <c r="G121" s="4"/>
    </row>
    <row r="122" spans="1:7" x14ac:dyDescent="0.25">
      <c r="A122" s="264" t="s">
        <v>2005</v>
      </c>
      <c r="B122" s="264" t="s">
        <v>1054</v>
      </c>
      <c r="C122" s="264" t="s">
        <v>1054</v>
      </c>
      <c r="D122" s="264" t="s">
        <v>1054</v>
      </c>
      <c r="E122" s="264">
        <v>9999</v>
      </c>
      <c r="F122" s="264">
        <v>0</v>
      </c>
      <c r="G122" s="4"/>
    </row>
    <row r="123" spans="1:7" x14ac:dyDescent="0.25">
      <c r="A123" s="264" t="s">
        <v>2005</v>
      </c>
      <c r="B123" s="264" t="s">
        <v>1054</v>
      </c>
      <c r="C123" s="264" t="s">
        <v>1054</v>
      </c>
      <c r="D123" s="264" t="s">
        <v>1054</v>
      </c>
      <c r="E123" s="264">
        <v>9999</v>
      </c>
      <c r="F123" s="264">
        <v>0</v>
      </c>
      <c r="G123" s="4"/>
    </row>
    <row r="124" spans="1:7" x14ac:dyDescent="0.25">
      <c r="A124" s="264" t="s">
        <v>2005</v>
      </c>
      <c r="B124" s="264" t="s">
        <v>1054</v>
      </c>
      <c r="C124" s="264" t="s">
        <v>1054</v>
      </c>
      <c r="D124" s="264" t="s">
        <v>1054</v>
      </c>
      <c r="E124" s="264">
        <v>9999</v>
      </c>
      <c r="F124" s="264">
        <v>0</v>
      </c>
      <c r="G124" s="4"/>
    </row>
    <row r="125" spans="1:7" x14ac:dyDescent="0.25">
      <c r="A125" s="264" t="s">
        <v>2005</v>
      </c>
      <c r="B125" s="264" t="s">
        <v>1054</v>
      </c>
      <c r="C125" s="264" t="s">
        <v>1054</v>
      </c>
      <c r="D125" s="264" t="s">
        <v>1054</v>
      </c>
      <c r="E125" s="264">
        <v>9999</v>
      </c>
      <c r="F125" s="264">
        <v>0</v>
      </c>
      <c r="G125" s="4"/>
    </row>
    <row r="126" spans="1:7" x14ac:dyDescent="0.25">
      <c r="A126" s="264" t="s">
        <v>2005</v>
      </c>
      <c r="B126" s="264" t="s">
        <v>1054</v>
      </c>
      <c r="C126" s="264" t="s">
        <v>1054</v>
      </c>
      <c r="D126" s="264" t="s">
        <v>1054</v>
      </c>
      <c r="E126" s="264">
        <v>9999</v>
      </c>
      <c r="F126" s="264">
        <v>0</v>
      </c>
      <c r="G126" s="4"/>
    </row>
    <row r="127" spans="1:7" x14ac:dyDescent="0.25">
      <c r="A127" s="264" t="s">
        <v>2005</v>
      </c>
      <c r="B127" s="264" t="s">
        <v>1054</v>
      </c>
      <c r="C127" s="264" t="s">
        <v>1054</v>
      </c>
      <c r="D127" s="264" t="s">
        <v>1054</v>
      </c>
      <c r="E127" s="264">
        <v>9999</v>
      </c>
      <c r="F127" s="264">
        <v>0</v>
      </c>
      <c r="G127" s="4"/>
    </row>
    <row r="128" spans="1:7" x14ac:dyDescent="0.25">
      <c r="A128" s="264" t="s">
        <v>2005</v>
      </c>
      <c r="B128" s="264" t="s">
        <v>1054</v>
      </c>
      <c r="C128" s="264" t="s">
        <v>1054</v>
      </c>
      <c r="D128" s="264" t="s">
        <v>1054</v>
      </c>
      <c r="E128" s="264">
        <v>9999</v>
      </c>
      <c r="F128" s="264">
        <v>0</v>
      </c>
      <c r="G128" s="4"/>
    </row>
    <row r="129" spans="1:7" x14ac:dyDescent="0.25">
      <c r="A129" s="264" t="s">
        <v>2005</v>
      </c>
      <c r="B129" s="264" t="s">
        <v>1054</v>
      </c>
      <c r="C129" s="264" t="s">
        <v>1054</v>
      </c>
      <c r="D129" s="264" t="s">
        <v>1054</v>
      </c>
      <c r="E129" s="264">
        <v>9999</v>
      </c>
      <c r="F129" s="264">
        <v>0</v>
      </c>
      <c r="G129" s="4"/>
    </row>
    <row r="130" spans="1:7" x14ac:dyDescent="0.25">
      <c r="A130" s="264" t="s">
        <v>2005</v>
      </c>
      <c r="B130" s="264" t="s">
        <v>1054</v>
      </c>
      <c r="C130" s="264" t="s">
        <v>1054</v>
      </c>
      <c r="D130" s="264" t="s">
        <v>1054</v>
      </c>
      <c r="E130" s="264">
        <v>9999</v>
      </c>
      <c r="F130" s="264">
        <v>0</v>
      </c>
      <c r="G130" s="4"/>
    </row>
    <row r="131" spans="1:7" x14ac:dyDescent="0.25">
      <c r="A131" s="264" t="s">
        <v>2005</v>
      </c>
      <c r="B131" s="264" t="s">
        <v>1054</v>
      </c>
      <c r="C131" s="264" t="s">
        <v>1054</v>
      </c>
      <c r="D131" s="264" t="s">
        <v>1054</v>
      </c>
      <c r="E131" s="264">
        <v>9999</v>
      </c>
      <c r="F131" s="264">
        <v>0</v>
      </c>
      <c r="G131" s="4"/>
    </row>
    <row r="132" spans="1:7" x14ac:dyDescent="0.25">
      <c r="A132" s="264" t="s">
        <v>2005</v>
      </c>
      <c r="B132" s="264" t="s">
        <v>1054</v>
      </c>
      <c r="C132" s="264" t="s">
        <v>1054</v>
      </c>
      <c r="D132" s="264" t="s">
        <v>1054</v>
      </c>
      <c r="E132" s="264">
        <v>9999</v>
      </c>
      <c r="F132" s="264">
        <v>0</v>
      </c>
      <c r="G132" s="4"/>
    </row>
    <row r="133" spans="1:7" x14ac:dyDescent="0.25">
      <c r="A133" s="264" t="s">
        <v>2005</v>
      </c>
      <c r="B133" s="264" t="s">
        <v>1054</v>
      </c>
      <c r="C133" s="264" t="s">
        <v>1054</v>
      </c>
      <c r="D133" s="264" t="s">
        <v>1054</v>
      </c>
      <c r="E133" s="264">
        <v>9999</v>
      </c>
      <c r="F133" s="264">
        <v>0</v>
      </c>
      <c r="G133" s="4"/>
    </row>
    <row r="134" spans="1:7" x14ac:dyDescent="0.25">
      <c r="A134" s="264" t="s">
        <v>2005</v>
      </c>
      <c r="B134" s="264" t="s">
        <v>1054</v>
      </c>
      <c r="C134" s="264" t="s">
        <v>1054</v>
      </c>
      <c r="D134" s="264" t="s">
        <v>1054</v>
      </c>
      <c r="E134" s="264">
        <v>9999</v>
      </c>
      <c r="F134" s="264">
        <v>0</v>
      </c>
      <c r="G134" s="4"/>
    </row>
    <row r="135" spans="1:7" x14ac:dyDescent="0.25">
      <c r="A135" s="264" t="s">
        <v>2005</v>
      </c>
      <c r="B135" s="264" t="s">
        <v>1054</v>
      </c>
      <c r="C135" s="264" t="s">
        <v>1054</v>
      </c>
      <c r="D135" s="264" t="s">
        <v>1054</v>
      </c>
      <c r="E135" s="264">
        <v>9999</v>
      </c>
      <c r="F135" s="264">
        <v>0</v>
      </c>
      <c r="G135" s="4"/>
    </row>
    <row r="136" spans="1:7" x14ac:dyDescent="0.25">
      <c r="A136" s="264" t="s">
        <v>2005</v>
      </c>
      <c r="B136" s="264" t="s">
        <v>1054</v>
      </c>
      <c r="C136" s="264" t="s">
        <v>1054</v>
      </c>
      <c r="D136" s="264" t="s">
        <v>1054</v>
      </c>
      <c r="E136" s="264">
        <v>9999</v>
      </c>
      <c r="F136" s="264">
        <v>0</v>
      </c>
      <c r="G136" s="4"/>
    </row>
    <row r="137" spans="1:7" x14ac:dyDescent="0.25">
      <c r="A137" s="264" t="s">
        <v>2005</v>
      </c>
      <c r="B137" s="264" t="s">
        <v>1054</v>
      </c>
      <c r="C137" s="264" t="s">
        <v>1054</v>
      </c>
      <c r="D137" s="264" t="s">
        <v>1054</v>
      </c>
      <c r="E137" s="264">
        <v>9999</v>
      </c>
      <c r="F137" s="264">
        <v>0</v>
      </c>
      <c r="G137" s="4"/>
    </row>
    <row r="138" spans="1:7" x14ac:dyDescent="0.25">
      <c r="A138" s="264" t="s">
        <v>2005</v>
      </c>
      <c r="B138" s="264" t="s">
        <v>1054</v>
      </c>
      <c r="C138" s="264" t="s">
        <v>1054</v>
      </c>
      <c r="D138" s="264" t="s">
        <v>1054</v>
      </c>
      <c r="E138" s="264">
        <v>9999</v>
      </c>
      <c r="F138" s="264">
        <v>0</v>
      </c>
      <c r="G138" s="4"/>
    </row>
    <row r="139" spans="1:7" x14ac:dyDescent="0.25">
      <c r="A139" s="264" t="s">
        <v>2005</v>
      </c>
      <c r="B139" s="264" t="s">
        <v>1054</v>
      </c>
      <c r="C139" s="264" t="s">
        <v>1054</v>
      </c>
      <c r="D139" s="264" t="s">
        <v>1054</v>
      </c>
      <c r="E139" s="264">
        <v>9999</v>
      </c>
      <c r="F139" s="264">
        <v>0</v>
      </c>
      <c r="G139" s="4"/>
    </row>
    <row r="140" spans="1:7" x14ac:dyDescent="0.25">
      <c r="A140" s="264" t="s">
        <v>2005</v>
      </c>
      <c r="B140" s="264" t="s">
        <v>1054</v>
      </c>
      <c r="C140" s="264" t="s">
        <v>1054</v>
      </c>
      <c r="D140" s="264" t="s">
        <v>1054</v>
      </c>
      <c r="E140" s="264">
        <v>9999</v>
      </c>
      <c r="F140" s="264">
        <v>0</v>
      </c>
      <c r="G140" s="4"/>
    </row>
    <row r="141" spans="1:7" x14ac:dyDescent="0.25">
      <c r="A141" s="264" t="s">
        <v>2005</v>
      </c>
      <c r="B141" s="264" t="s">
        <v>1054</v>
      </c>
      <c r="C141" s="264" t="s">
        <v>1054</v>
      </c>
      <c r="D141" s="264" t="s">
        <v>1054</v>
      </c>
      <c r="E141" s="264">
        <v>9999</v>
      </c>
      <c r="F141" s="264">
        <v>0</v>
      </c>
      <c r="G141" s="4"/>
    </row>
    <row r="142" spans="1:7" x14ac:dyDescent="0.25">
      <c r="A142" s="264" t="s">
        <v>2005</v>
      </c>
      <c r="B142" s="264" t="s">
        <v>1054</v>
      </c>
      <c r="C142" s="264" t="s">
        <v>1054</v>
      </c>
      <c r="D142" s="264" t="s">
        <v>1054</v>
      </c>
      <c r="E142" s="264">
        <v>9999</v>
      </c>
      <c r="F142" s="264">
        <v>0</v>
      </c>
      <c r="G142" s="4"/>
    </row>
    <row r="143" spans="1:7" x14ac:dyDescent="0.25">
      <c r="A143" s="264" t="s">
        <v>2005</v>
      </c>
      <c r="B143" s="264" t="s">
        <v>1054</v>
      </c>
      <c r="C143" s="264" t="s">
        <v>1054</v>
      </c>
      <c r="D143" s="264" t="s">
        <v>1054</v>
      </c>
      <c r="E143" s="264">
        <v>9999</v>
      </c>
      <c r="F143" s="264">
        <v>0</v>
      </c>
      <c r="G143" s="4"/>
    </row>
    <row r="144" spans="1:7" x14ac:dyDescent="0.25">
      <c r="A144" s="264" t="s">
        <v>2005</v>
      </c>
      <c r="B144" s="264" t="s">
        <v>1054</v>
      </c>
      <c r="C144" s="264" t="s">
        <v>1054</v>
      </c>
      <c r="D144" s="264" t="s">
        <v>1054</v>
      </c>
      <c r="E144" s="264">
        <v>9999</v>
      </c>
      <c r="F144" s="264">
        <v>0</v>
      </c>
      <c r="G144" s="4"/>
    </row>
    <row r="145" spans="1:7" x14ac:dyDescent="0.25">
      <c r="A145" s="264" t="s">
        <v>2005</v>
      </c>
      <c r="B145" s="264" t="s">
        <v>1054</v>
      </c>
      <c r="C145" s="264" t="s">
        <v>1054</v>
      </c>
      <c r="D145" s="264" t="s">
        <v>1054</v>
      </c>
      <c r="E145" s="264">
        <v>9999</v>
      </c>
      <c r="F145" s="264">
        <v>0</v>
      </c>
      <c r="G145" s="4"/>
    </row>
    <row r="146" spans="1:7" x14ac:dyDescent="0.25">
      <c r="A146" s="264" t="s">
        <v>2005</v>
      </c>
      <c r="B146" s="264" t="s">
        <v>1054</v>
      </c>
      <c r="C146" s="264" t="s">
        <v>1054</v>
      </c>
      <c r="D146" s="264" t="s">
        <v>1054</v>
      </c>
      <c r="E146" s="264">
        <v>9999</v>
      </c>
      <c r="F146" s="264">
        <v>0</v>
      </c>
      <c r="G146" s="4"/>
    </row>
    <row r="147" spans="1:7" x14ac:dyDescent="0.25">
      <c r="A147" s="264" t="s">
        <v>2005</v>
      </c>
      <c r="B147" s="264" t="s">
        <v>1054</v>
      </c>
      <c r="C147" s="264" t="s">
        <v>1054</v>
      </c>
      <c r="D147" s="264" t="s">
        <v>1054</v>
      </c>
      <c r="E147" s="264">
        <v>9999</v>
      </c>
      <c r="F147" s="264">
        <v>0</v>
      </c>
      <c r="G147" s="4"/>
    </row>
    <row r="148" spans="1:7" x14ac:dyDescent="0.25">
      <c r="A148" s="264" t="s">
        <v>2005</v>
      </c>
      <c r="B148" s="264" t="s">
        <v>1054</v>
      </c>
      <c r="C148" s="264" t="s">
        <v>1054</v>
      </c>
      <c r="D148" s="264" t="s">
        <v>1054</v>
      </c>
      <c r="E148" s="264">
        <v>9999</v>
      </c>
      <c r="F148" s="264">
        <v>0</v>
      </c>
      <c r="G148" s="4"/>
    </row>
    <row r="149" spans="1:7" x14ac:dyDescent="0.25">
      <c r="A149" s="264" t="s">
        <v>2005</v>
      </c>
      <c r="B149" s="264" t="s">
        <v>1054</v>
      </c>
      <c r="C149" s="264" t="s">
        <v>1054</v>
      </c>
      <c r="D149" s="264" t="s">
        <v>1054</v>
      </c>
      <c r="E149" s="264">
        <v>9999</v>
      </c>
      <c r="F149" s="264">
        <v>0</v>
      </c>
      <c r="G149" s="4"/>
    </row>
    <row r="150" spans="1:7" x14ac:dyDescent="0.25">
      <c r="A150" s="264" t="s">
        <v>2005</v>
      </c>
      <c r="B150" s="264" t="s">
        <v>1054</v>
      </c>
      <c r="C150" s="264" t="s">
        <v>1054</v>
      </c>
      <c r="D150" s="264" t="s">
        <v>1054</v>
      </c>
      <c r="E150" s="264">
        <v>9999</v>
      </c>
      <c r="F150" s="264">
        <v>0</v>
      </c>
      <c r="G150" s="4"/>
    </row>
    <row r="151" spans="1:7" x14ac:dyDescent="0.25">
      <c r="A151" s="264" t="s">
        <v>2005</v>
      </c>
      <c r="B151" s="264" t="s">
        <v>1054</v>
      </c>
      <c r="C151" s="264" t="s">
        <v>1054</v>
      </c>
      <c r="D151" s="264" t="s">
        <v>1054</v>
      </c>
      <c r="E151" s="264">
        <v>9999</v>
      </c>
      <c r="F151" s="264">
        <v>0</v>
      </c>
      <c r="G151" s="4"/>
    </row>
    <row r="152" spans="1:7" x14ac:dyDescent="0.25">
      <c r="A152" s="264" t="s">
        <v>2005</v>
      </c>
      <c r="B152" s="264" t="s">
        <v>1054</v>
      </c>
      <c r="C152" s="264" t="s">
        <v>1054</v>
      </c>
      <c r="D152" s="264" t="s">
        <v>1054</v>
      </c>
      <c r="E152" s="264">
        <v>9999</v>
      </c>
      <c r="F152" s="264">
        <v>0</v>
      </c>
      <c r="G152" s="4"/>
    </row>
    <row r="153" spans="1:7" x14ac:dyDescent="0.25">
      <c r="A153" s="264" t="s">
        <v>2005</v>
      </c>
      <c r="B153" s="264" t="s">
        <v>1054</v>
      </c>
      <c r="C153" s="264" t="s">
        <v>1054</v>
      </c>
      <c r="D153" s="264" t="s">
        <v>1054</v>
      </c>
      <c r="E153" s="264">
        <v>9999</v>
      </c>
      <c r="F153" s="264">
        <v>0</v>
      </c>
      <c r="G153" s="4"/>
    </row>
    <row r="154" spans="1:7" x14ac:dyDescent="0.25">
      <c r="A154" s="264" t="s">
        <v>2005</v>
      </c>
      <c r="B154" s="264" t="s">
        <v>1054</v>
      </c>
      <c r="C154" s="264" t="s">
        <v>1054</v>
      </c>
      <c r="D154" s="264" t="s">
        <v>1054</v>
      </c>
      <c r="E154" s="264">
        <v>9999</v>
      </c>
      <c r="F154" s="264">
        <v>0</v>
      </c>
      <c r="G154" s="4"/>
    </row>
    <row r="155" spans="1:7" x14ac:dyDescent="0.25">
      <c r="A155" s="264" t="s">
        <v>2005</v>
      </c>
      <c r="B155" s="264" t="s">
        <v>1054</v>
      </c>
      <c r="C155" s="264" t="s">
        <v>1054</v>
      </c>
      <c r="D155" s="264" t="s">
        <v>1054</v>
      </c>
      <c r="E155" s="264">
        <v>9999</v>
      </c>
      <c r="F155" s="264">
        <v>0</v>
      </c>
      <c r="G155" s="4"/>
    </row>
    <row r="156" spans="1:7" x14ac:dyDescent="0.25">
      <c r="A156" s="264" t="s">
        <v>2005</v>
      </c>
      <c r="B156" s="264" t="s">
        <v>1054</v>
      </c>
      <c r="C156" s="264" t="s">
        <v>1054</v>
      </c>
      <c r="D156" s="264" t="s">
        <v>1054</v>
      </c>
      <c r="E156" s="264">
        <v>9999</v>
      </c>
      <c r="F156" s="264">
        <v>0</v>
      </c>
      <c r="G156" s="4"/>
    </row>
    <row r="157" spans="1:7" x14ac:dyDescent="0.25">
      <c r="A157" s="264" t="s">
        <v>2005</v>
      </c>
      <c r="B157" s="264" t="s">
        <v>1054</v>
      </c>
      <c r="C157" s="264" t="s">
        <v>1054</v>
      </c>
      <c r="D157" s="264" t="s">
        <v>1054</v>
      </c>
      <c r="E157" s="264">
        <v>9999</v>
      </c>
      <c r="F157" s="264">
        <v>0</v>
      </c>
      <c r="G157" s="4"/>
    </row>
    <row r="158" spans="1:7" x14ac:dyDescent="0.25">
      <c r="A158" s="264" t="s">
        <v>2005</v>
      </c>
      <c r="B158" s="264" t="s">
        <v>1054</v>
      </c>
      <c r="C158" s="264" t="s">
        <v>1054</v>
      </c>
      <c r="D158" s="264" t="s">
        <v>1054</v>
      </c>
      <c r="E158" s="264">
        <v>9999</v>
      </c>
      <c r="F158" s="264">
        <v>0</v>
      </c>
      <c r="G158" s="4"/>
    </row>
    <row r="159" spans="1:7" x14ac:dyDescent="0.25">
      <c r="A159" s="264" t="s">
        <v>2005</v>
      </c>
      <c r="B159" s="264" t="s">
        <v>1054</v>
      </c>
      <c r="C159" s="264" t="s">
        <v>1054</v>
      </c>
      <c r="D159" s="264" t="s">
        <v>1054</v>
      </c>
      <c r="E159" s="264">
        <v>9999</v>
      </c>
      <c r="F159" s="264">
        <v>0</v>
      </c>
      <c r="G159" s="4"/>
    </row>
    <row r="160" spans="1:7" x14ac:dyDescent="0.25">
      <c r="A160" s="264" t="s">
        <v>2005</v>
      </c>
      <c r="B160" s="264" t="s">
        <v>1054</v>
      </c>
      <c r="C160" s="264" t="s">
        <v>1054</v>
      </c>
      <c r="D160" s="264" t="s">
        <v>1054</v>
      </c>
      <c r="E160" s="264">
        <v>9999</v>
      </c>
      <c r="F160" s="264">
        <v>0</v>
      </c>
      <c r="G160" s="4"/>
    </row>
    <row r="161" spans="1:7" x14ac:dyDescent="0.25">
      <c r="A161" s="264" t="s">
        <v>2005</v>
      </c>
      <c r="B161" s="264" t="s">
        <v>1054</v>
      </c>
      <c r="C161" s="264" t="s">
        <v>1054</v>
      </c>
      <c r="D161" s="264" t="s">
        <v>1054</v>
      </c>
      <c r="E161" s="264">
        <v>9999</v>
      </c>
      <c r="F161" s="264">
        <v>0</v>
      </c>
      <c r="G161" s="4"/>
    </row>
    <row r="162" spans="1:7" x14ac:dyDescent="0.25">
      <c r="A162" s="264" t="s">
        <v>2005</v>
      </c>
      <c r="B162" s="264" t="s">
        <v>1054</v>
      </c>
      <c r="C162" s="264" t="s">
        <v>1054</v>
      </c>
      <c r="D162" s="264" t="s">
        <v>1054</v>
      </c>
      <c r="E162" s="264">
        <v>9999</v>
      </c>
      <c r="F162" s="264">
        <v>0</v>
      </c>
      <c r="G162" s="4"/>
    </row>
    <row r="163" spans="1:7" x14ac:dyDescent="0.25">
      <c r="A163" s="264" t="s">
        <v>2005</v>
      </c>
      <c r="B163" s="264" t="s">
        <v>1054</v>
      </c>
      <c r="C163" s="264" t="s">
        <v>1054</v>
      </c>
      <c r="D163" s="264" t="s">
        <v>1054</v>
      </c>
      <c r="E163" s="264">
        <v>9999</v>
      </c>
      <c r="F163" s="264">
        <v>0</v>
      </c>
      <c r="G163" s="4"/>
    </row>
    <row r="164" spans="1:7" x14ac:dyDescent="0.25">
      <c r="A164" s="264" t="s">
        <v>2005</v>
      </c>
      <c r="B164" s="264" t="s">
        <v>1054</v>
      </c>
      <c r="C164" s="264" t="s">
        <v>1054</v>
      </c>
      <c r="D164" s="264" t="s">
        <v>1054</v>
      </c>
      <c r="E164" s="264">
        <v>9999</v>
      </c>
      <c r="F164" s="264">
        <v>0</v>
      </c>
      <c r="G164" s="4"/>
    </row>
    <row r="165" spans="1:7" x14ac:dyDescent="0.25">
      <c r="A165" s="264" t="s">
        <v>2005</v>
      </c>
      <c r="B165" s="264" t="s">
        <v>1054</v>
      </c>
      <c r="C165" s="264" t="s">
        <v>1054</v>
      </c>
      <c r="D165" s="264" t="s">
        <v>1054</v>
      </c>
      <c r="E165" s="264">
        <v>9999</v>
      </c>
      <c r="F165" s="264">
        <v>0</v>
      </c>
      <c r="G165" s="4"/>
    </row>
    <row r="166" spans="1:7" x14ac:dyDescent="0.25">
      <c r="A166" s="264" t="s">
        <v>2005</v>
      </c>
      <c r="B166" s="264" t="s">
        <v>1054</v>
      </c>
      <c r="C166" s="264" t="s">
        <v>1054</v>
      </c>
      <c r="D166" s="264" t="s">
        <v>1054</v>
      </c>
      <c r="E166" s="264">
        <v>9999</v>
      </c>
      <c r="F166" s="264">
        <v>0</v>
      </c>
      <c r="G166" s="4"/>
    </row>
    <row r="167" spans="1:7" x14ac:dyDescent="0.25">
      <c r="A167" s="264" t="s">
        <v>2005</v>
      </c>
      <c r="B167" s="264" t="s">
        <v>1054</v>
      </c>
      <c r="C167" s="264" t="s">
        <v>1054</v>
      </c>
      <c r="D167" s="264" t="s">
        <v>1054</v>
      </c>
      <c r="E167" s="264">
        <v>9999</v>
      </c>
      <c r="F167" s="264">
        <v>0</v>
      </c>
      <c r="G167" s="4"/>
    </row>
    <row r="168" spans="1:7" x14ac:dyDescent="0.25">
      <c r="A168" s="264" t="s">
        <v>2005</v>
      </c>
      <c r="B168" s="264" t="s">
        <v>1054</v>
      </c>
      <c r="C168" s="264" t="s">
        <v>1054</v>
      </c>
      <c r="D168" s="264" t="s">
        <v>1054</v>
      </c>
      <c r="E168" s="264">
        <v>9999</v>
      </c>
      <c r="F168" s="264">
        <v>0</v>
      </c>
      <c r="G168" s="4"/>
    </row>
    <row r="169" spans="1:7" x14ac:dyDescent="0.25">
      <c r="A169" s="264" t="s">
        <v>2005</v>
      </c>
      <c r="B169" s="264" t="s">
        <v>1054</v>
      </c>
      <c r="C169" s="264" t="s">
        <v>1054</v>
      </c>
      <c r="D169" s="264" t="s">
        <v>1054</v>
      </c>
      <c r="E169" s="264">
        <v>9999</v>
      </c>
      <c r="F169" s="264">
        <v>0</v>
      </c>
      <c r="G169" s="4"/>
    </row>
    <row r="170" spans="1:7" x14ac:dyDescent="0.25">
      <c r="A170" s="264" t="s">
        <v>2005</v>
      </c>
      <c r="B170" s="264" t="s">
        <v>1054</v>
      </c>
      <c r="C170" s="264" t="s">
        <v>1054</v>
      </c>
      <c r="D170" s="264" t="s">
        <v>1054</v>
      </c>
      <c r="E170" s="264">
        <v>9999</v>
      </c>
      <c r="F170" s="264">
        <v>0</v>
      </c>
      <c r="G170" s="4"/>
    </row>
    <row r="171" spans="1:7" x14ac:dyDescent="0.25">
      <c r="A171" s="264" t="s">
        <v>2005</v>
      </c>
      <c r="B171" s="264" t="s">
        <v>1054</v>
      </c>
      <c r="C171" s="264" t="s">
        <v>1054</v>
      </c>
      <c r="D171" s="264" t="s">
        <v>1054</v>
      </c>
      <c r="E171" s="264">
        <v>9999</v>
      </c>
      <c r="F171" s="264">
        <v>0</v>
      </c>
      <c r="G171" s="4"/>
    </row>
    <row r="172" spans="1:7" x14ac:dyDescent="0.25">
      <c r="A172" s="264" t="s">
        <v>2005</v>
      </c>
      <c r="B172" s="264" t="s">
        <v>1054</v>
      </c>
      <c r="C172" s="264" t="s">
        <v>1054</v>
      </c>
      <c r="D172" s="264" t="s">
        <v>1054</v>
      </c>
      <c r="E172" s="264">
        <v>9999</v>
      </c>
      <c r="F172" s="264">
        <v>0</v>
      </c>
      <c r="G172" s="4"/>
    </row>
    <row r="173" spans="1:7" x14ac:dyDescent="0.25">
      <c r="A173" s="264" t="s">
        <v>2005</v>
      </c>
      <c r="B173" s="264" t="s">
        <v>1054</v>
      </c>
      <c r="C173" s="264" t="s">
        <v>1054</v>
      </c>
      <c r="D173" s="264" t="s">
        <v>1054</v>
      </c>
      <c r="E173" s="264">
        <v>9999</v>
      </c>
      <c r="F173" s="264">
        <v>0</v>
      </c>
      <c r="G173" s="4"/>
    </row>
    <row r="174" spans="1:7" x14ac:dyDescent="0.25">
      <c r="A174" s="264" t="s">
        <v>2005</v>
      </c>
      <c r="B174" s="264" t="s">
        <v>1054</v>
      </c>
      <c r="C174" s="264" t="s">
        <v>1054</v>
      </c>
      <c r="D174" s="264" t="s">
        <v>1054</v>
      </c>
      <c r="E174" s="264">
        <v>9999</v>
      </c>
      <c r="F174" s="264">
        <v>0</v>
      </c>
      <c r="G174" s="4"/>
    </row>
    <row r="175" spans="1:7" x14ac:dyDescent="0.25">
      <c r="A175" s="264" t="s">
        <v>2005</v>
      </c>
      <c r="B175" s="264" t="s">
        <v>1054</v>
      </c>
      <c r="C175" s="264" t="s">
        <v>1054</v>
      </c>
      <c r="D175" s="264" t="s">
        <v>1054</v>
      </c>
      <c r="E175" s="264">
        <v>9999</v>
      </c>
      <c r="F175" s="264">
        <v>0</v>
      </c>
      <c r="G175" s="4"/>
    </row>
    <row r="176" spans="1:7" x14ac:dyDescent="0.25">
      <c r="A176" s="264" t="s">
        <v>2005</v>
      </c>
      <c r="B176" s="264" t="s">
        <v>1054</v>
      </c>
      <c r="C176" s="264" t="s">
        <v>1054</v>
      </c>
      <c r="D176" s="264" t="s">
        <v>1054</v>
      </c>
      <c r="E176" s="264">
        <v>9999</v>
      </c>
      <c r="F176" s="264">
        <v>0</v>
      </c>
      <c r="G176" s="4"/>
    </row>
    <row r="177" spans="1:7" x14ac:dyDescent="0.25">
      <c r="A177" s="264" t="s">
        <v>2005</v>
      </c>
      <c r="B177" s="264" t="s">
        <v>1054</v>
      </c>
      <c r="C177" s="264" t="s">
        <v>1054</v>
      </c>
      <c r="D177" s="264" t="s">
        <v>1054</v>
      </c>
      <c r="E177" s="264">
        <v>9999</v>
      </c>
      <c r="F177" s="264">
        <v>0</v>
      </c>
      <c r="G177" s="4"/>
    </row>
    <row r="178" spans="1:7" x14ac:dyDescent="0.25">
      <c r="A178" s="264" t="s">
        <v>2005</v>
      </c>
      <c r="B178" s="264" t="s">
        <v>1054</v>
      </c>
      <c r="C178" s="264" t="s">
        <v>1054</v>
      </c>
      <c r="D178" s="264" t="s">
        <v>1054</v>
      </c>
      <c r="E178" s="264">
        <v>9999</v>
      </c>
      <c r="F178" s="264">
        <v>0</v>
      </c>
      <c r="G178" s="4"/>
    </row>
    <row r="179" spans="1:7" x14ac:dyDescent="0.25">
      <c r="A179" s="264" t="s">
        <v>2005</v>
      </c>
      <c r="B179" s="264" t="s">
        <v>1054</v>
      </c>
      <c r="C179" s="264" t="s">
        <v>1054</v>
      </c>
      <c r="D179" s="264" t="s">
        <v>1054</v>
      </c>
      <c r="E179" s="264">
        <v>9999</v>
      </c>
      <c r="F179" s="264">
        <v>0</v>
      </c>
      <c r="G179" s="4"/>
    </row>
    <row r="180" spans="1:7" x14ac:dyDescent="0.25">
      <c r="A180" s="264" t="s">
        <v>2005</v>
      </c>
      <c r="B180" s="264" t="s">
        <v>1054</v>
      </c>
      <c r="C180" s="264" t="s">
        <v>1054</v>
      </c>
      <c r="D180" s="264" t="s">
        <v>1054</v>
      </c>
      <c r="E180" s="264">
        <v>9999</v>
      </c>
      <c r="F180" s="264">
        <v>0</v>
      </c>
      <c r="G180" s="4"/>
    </row>
    <row r="181" spans="1:7" x14ac:dyDescent="0.25">
      <c r="A181" s="264" t="s">
        <v>2005</v>
      </c>
      <c r="B181" s="264" t="s">
        <v>1054</v>
      </c>
      <c r="C181" s="264" t="s">
        <v>1054</v>
      </c>
      <c r="D181" s="264" t="s">
        <v>1054</v>
      </c>
      <c r="E181" s="264">
        <v>9999</v>
      </c>
      <c r="F181" s="264">
        <v>0</v>
      </c>
      <c r="G181" s="4"/>
    </row>
    <row r="182" spans="1:7" x14ac:dyDescent="0.25">
      <c r="A182" s="264" t="s">
        <v>2005</v>
      </c>
      <c r="B182" s="264" t="s">
        <v>1054</v>
      </c>
      <c r="C182" s="264" t="s">
        <v>1054</v>
      </c>
      <c r="D182" s="264" t="s">
        <v>1054</v>
      </c>
      <c r="E182" s="264">
        <v>9999</v>
      </c>
      <c r="F182" s="264">
        <v>0</v>
      </c>
      <c r="G182" s="4"/>
    </row>
    <row r="183" spans="1:7" x14ac:dyDescent="0.25">
      <c r="A183" s="264" t="s">
        <v>2005</v>
      </c>
      <c r="B183" s="264" t="s">
        <v>1054</v>
      </c>
      <c r="C183" s="264" t="s">
        <v>1054</v>
      </c>
      <c r="D183" s="264" t="s">
        <v>1054</v>
      </c>
      <c r="E183" s="264">
        <v>9999</v>
      </c>
      <c r="F183" s="264">
        <v>0</v>
      </c>
      <c r="G183" s="4"/>
    </row>
    <row r="184" spans="1:7" x14ac:dyDescent="0.25">
      <c r="A184" s="264" t="s">
        <v>2005</v>
      </c>
      <c r="B184" s="264" t="s">
        <v>1054</v>
      </c>
      <c r="C184" s="264" t="s">
        <v>1054</v>
      </c>
      <c r="D184" s="264" t="s">
        <v>1054</v>
      </c>
      <c r="E184" s="264">
        <v>9999</v>
      </c>
      <c r="F184" s="264">
        <v>0</v>
      </c>
      <c r="G184" s="4"/>
    </row>
    <row r="185" spans="1:7" x14ac:dyDescent="0.25">
      <c r="A185" s="264" t="s">
        <v>2005</v>
      </c>
      <c r="B185" s="264" t="s">
        <v>1054</v>
      </c>
      <c r="C185" s="264" t="s">
        <v>1054</v>
      </c>
      <c r="D185" s="264" t="s">
        <v>1054</v>
      </c>
      <c r="E185" s="264">
        <v>9999</v>
      </c>
      <c r="F185" s="264">
        <v>0</v>
      </c>
      <c r="G185" s="4"/>
    </row>
    <row r="186" spans="1:7" x14ac:dyDescent="0.25">
      <c r="A186" s="264" t="s">
        <v>2005</v>
      </c>
      <c r="B186" s="264" t="s">
        <v>1054</v>
      </c>
      <c r="C186" s="264" t="s">
        <v>1054</v>
      </c>
      <c r="D186" s="264" t="s">
        <v>1054</v>
      </c>
      <c r="E186" s="264">
        <v>9999</v>
      </c>
      <c r="F186" s="264">
        <v>0</v>
      </c>
      <c r="G186" s="4"/>
    </row>
    <row r="187" spans="1:7" x14ac:dyDescent="0.25">
      <c r="A187" s="264" t="s">
        <v>2005</v>
      </c>
      <c r="B187" s="264" t="s">
        <v>1054</v>
      </c>
      <c r="C187" s="264" t="s">
        <v>1054</v>
      </c>
      <c r="D187" s="264" t="s">
        <v>1054</v>
      </c>
      <c r="E187" s="264">
        <v>9999</v>
      </c>
      <c r="F187" s="264">
        <v>0</v>
      </c>
      <c r="G187" s="4"/>
    </row>
    <row r="188" spans="1:7" x14ac:dyDescent="0.25">
      <c r="A188" s="264" t="s">
        <v>2005</v>
      </c>
      <c r="B188" s="264" t="s">
        <v>1054</v>
      </c>
      <c r="C188" s="264" t="s">
        <v>1054</v>
      </c>
      <c r="D188" s="264" t="s">
        <v>1054</v>
      </c>
      <c r="E188" s="264">
        <v>9999</v>
      </c>
      <c r="F188" s="264">
        <v>0</v>
      </c>
      <c r="G188" s="4"/>
    </row>
    <row r="189" spans="1:7" x14ac:dyDescent="0.25">
      <c r="A189" s="264" t="s">
        <v>2005</v>
      </c>
      <c r="B189" s="264" t="s">
        <v>1054</v>
      </c>
      <c r="C189" s="264" t="s">
        <v>1054</v>
      </c>
      <c r="D189" s="264" t="s">
        <v>1054</v>
      </c>
      <c r="E189" s="264">
        <v>9999</v>
      </c>
      <c r="F189" s="264">
        <v>0</v>
      </c>
      <c r="G189" s="4"/>
    </row>
    <row r="190" spans="1:7" x14ac:dyDescent="0.25">
      <c r="A190" s="264" t="s">
        <v>2005</v>
      </c>
      <c r="B190" s="264" t="s">
        <v>1054</v>
      </c>
      <c r="C190" s="264" t="s">
        <v>1054</v>
      </c>
      <c r="D190" s="264" t="s">
        <v>1054</v>
      </c>
      <c r="E190" s="264">
        <v>9999</v>
      </c>
      <c r="F190" s="264">
        <v>0</v>
      </c>
      <c r="G190" s="4"/>
    </row>
    <row r="191" spans="1:7" x14ac:dyDescent="0.25">
      <c r="A191" s="264" t="s">
        <v>2005</v>
      </c>
      <c r="B191" s="264" t="s">
        <v>1054</v>
      </c>
      <c r="C191" s="264" t="s">
        <v>1054</v>
      </c>
      <c r="D191" s="264" t="s">
        <v>1054</v>
      </c>
      <c r="E191" s="264">
        <v>9999</v>
      </c>
      <c r="F191" s="264">
        <v>0</v>
      </c>
      <c r="G191" s="4"/>
    </row>
    <row r="192" spans="1:7" x14ac:dyDescent="0.25">
      <c r="A192" s="264" t="s">
        <v>2005</v>
      </c>
      <c r="B192" s="264" t="s">
        <v>1054</v>
      </c>
      <c r="C192" s="264" t="s">
        <v>1054</v>
      </c>
      <c r="D192" s="264" t="s">
        <v>1054</v>
      </c>
      <c r="E192" s="264">
        <v>9999</v>
      </c>
      <c r="F192" s="264">
        <v>0</v>
      </c>
      <c r="G192" s="4"/>
    </row>
    <row r="193" spans="1:7" x14ac:dyDescent="0.25">
      <c r="A193" s="264" t="s">
        <v>2005</v>
      </c>
      <c r="B193" s="264" t="s">
        <v>1054</v>
      </c>
      <c r="C193" s="264" t="s">
        <v>1054</v>
      </c>
      <c r="D193" s="264" t="s">
        <v>1054</v>
      </c>
      <c r="E193" s="264">
        <v>9999</v>
      </c>
      <c r="F193" s="264">
        <v>0</v>
      </c>
      <c r="G193" s="4"/>
    </row>
    <row r="194" spans="1:7" x14ac:dyDescent="0.25">
      <c r="A194" s="264" t="s">
        <v>2005</v>
      </c>
      <c r="B194" s="264" t="s">
        <v>1054</v>
      </c>
      <c r="C194" s="264" t="s">
        <v>1054</v>
      </c>
      <c r="D194" s="264" t="s">
        <v>1054</v>
      </c>
      <c r="E194" s="264">
        <v>9999</v>
      </c>
      <c r="F194" s="264">
        <v>0</v>
      </c>
      <c r="G194" s="4"/>
    </row>
    <row r="195" spans="1:7" x14ac:dyDescent="0.25">
      <c r="A195" s="264" t="s">
        <v>2005</v>
      </c>
      <c r="B195" s="264" t="s">
        <v>1054</v>
      </c>
      <c r="C195" s="264" t="s">
        <v>1054</v>
      </c>
      <c r="D195" s="264" t="s">
        <v>1054</v>
      </c>
      <c r="E195" s="264">
        <v>9999</v>
      </c>
      <c r="F195" s="264">
        <v>0</v>
      </c>
      <c r="G195" s="4"/>
    </row>
    <row r="196" spans="1:7" x14ac:dyDescent="0.25">
      <c r="A196" s="264" t="s">
        <v>2005</v>
      </c>
      <c r="B196" s="264" t="s">
        <v>1054</v>
      </c>
      <c r="C196" s="264" t="s">
        <v>1054</v>
      </c>
      <c r="D196" s="264" t="s">
        <v>1054</v>
      </c>
      <c r="E196" s="264">
        <v>9999</v>
      </c>
      <c r="F196" s="264">
        <v>0</v>
      </c>
      <c r="G196" s="4"/>
    </row>
    <row r="197" spans="1:7" x14ac:dyDescent="0.25">
      <c r="A197" s="264" t="s">
        <v>2005</v>
      </c>
      <c r="B197" s="264" t="s">
        <v>1054</v>
      </c>
      <c r="C197" s="264" t="s">
        <v>1054</v>
      </c>
      <c r="D197" s="264" t="s">
        <v>1054</v>
      </c>
      <c r="E197" s="264">
        <v>9999</v>
      </c>
      <c r="F197" s="264">
        <v>0</v>
      </c>
      <c r="G197" s="4"/>
    </row>
    <row r="198" spans="1:7" x14ac:dyDescent="0.25">
      <c r="A198" s="264" t="s">
        <v>2005</v>
      </c>
      <c r="B198" s="264" t="s">
        <v>1054</v>
      </c>
      <c r="C198" s="264" t="s">
        <v>1054</v>
      </c>
      <c r="D198" s="264" t="s">
        <v>1054</v>
      </c>
      <c r="E198" s="264">
        <v>9999</v>
      </c>
      <c r="F198" s="264">
        <v>0</v>
      </c>
      <c r="G198" s="4"/>
    </row>
    <row r="199" spans="1:7" x14ac:dyDescent="0.25">
      <c r="A199" s="264" t="s">
        <v>2005</v>
      </c>
      <c r="B199" s="264" t="s">
        <v>1054</v>
      </c>
      <c r="C199" s="264" t="s">
        <v>1054</v>
      </c>
      <c r="D199" s="264" t="s">
        <v>1054</v>
      </c>
      <c r="E199" s="264">
        <v>9999</v>
      </c>
      <c r="F199" s="264">
        <v>0</v>
      </c>
      <c r="G199" s="4"/>
    </row>
    <row r="200" spans="1:7" x14ac:dyDescent="0.25">
      <c r="A200" s="264" t="s">
        <v>2005</v>
      </c>
      <c r="B200" s="264" t="s">
        <v>1054</v>
      </c>
      <c r="C200" s="264" t="s">
        <v>1054</v>
      </c>
      <c r="D200" s="264" t="s">
        <v>1054</v>
      </c>
      <c r="E200" s="264">
        <v>9999</v>
      </c>
      <c r="F200" s="264">
        <v>0</v>
      </c>
      <c r="G200" s="4"/>
    </row>
    <row r="201" spans="1:7" x14ac:dyDescent="0.25">
      <c r="A201" s="264" t="s">
        <v>2005</v>
      </c>
      <c r="B201" s="264" t="s">
        <v>1054</v>
      </c>
      <c r="C201" s="264" t="s">
        <v>1054</v>
      </c>
      <c r="D201" s="264" t="s">
        <v>1054</v>
      </c>
      <c r="E201" s="264">
        <v>9999</v>
      </c>
      <c r="F201" s="264">
        <v>0</v>
      </c>
      <c r="G201" s="4"/>
    </row>
    <row r="202" spans="1:7" x14ac:dyDescent="0.25">
      <c r="A202" s="264" t="s">
        <v>2005</v>
      </c>
      <c r="B202" s="264" t="s">
        <v>1054</v>
      </c>
      <c r="C202" s="264" t="s">
        <v>1054</v>
      </c>
      <c r="D202" s="264" t="s">
        <v>1054</v>
      </c>
      <c r="E202" s="264">
        <v>9999</v>
      </c>
      <c r="F202" s="264">
        <v>0</v>
      </c>
      <c r="G202" s="4"/>
    </row>
    <row r="203" spans="1:7" x14ac:dyDescent="0.25">
      <c r="A203" s="264" t="s">
        <v>2005</v>
      </c>
      <c r="B203" s="264" t="s">
        <v>1054</v>
      </c>
      <c r="C203" s="264" t="s">
        <v>1054</v>
      </c>
      <c r="D203" s="264" t="s">
        <v>1054</v>
      </c>
      <c r="E203" s="264">
        <v>9999</v>
      </c>
      <c r="F203" s="264">
        <v>0</v>
      </c>
      <c r="G203" s="4"/>
    </row>
    <row r="204" spans="1:7" x14ac:dyDescent="0.25">
      <c r="A204" s="264" t="s">
        <v>2005</v>
      </c>
      <c r="B204" s="264" t="s">
        <v>1054</v>
      </c>
      <c r="C204" s="264" t="s">
        <v>1054</v>
      </c>
      <c r="D204" s="264" t="s">
        <v>1054</v>
      </c>
      <c r="E204" s="264">
        <v>9999</v>
      </c>
      <c r="F204" s="264">
        <v>0</v>
      </c>
      <c r="G204" s="4"/>
    </row>
    <row r="205" spans="1:7" x14ac:dyDescent="0.25">
      <c r="A205" s="264" t="s">
        <v>2005</v>
      </c>
      <c r="B205" s="264" t="s">
        <v>1054</v>
      </c>
      <c r="C205" s="264" t="s">
        <v>1054</v>
      </c>
      <c r="D205" s="264" t="s">
        <v>1054</v>
      </c>
      <c r="E205" s="264">
        <v>9999</v>
      </c>
      <c r="F205" s="264">
        <v>0</v>
      </c>
      <c r="G205" s="4"/>
    </row>
    <row r="206" spans="1:7" x14ac:dyDescent="0.25">
      <c r="A206" s="264" t="s">
        <v>2005</v>
      </c>
      <c r="B206" s="264" t="s">
        <v>1054</v>
      </c>
      <c r="C206" s="264" t="s">
        <v>1054</v>
      </c>
      <c r="D206" s="264" t="s">
        <v>1054</v>
      </c>
      <c r="E206" s="264">
        <v>9999</v>
      </c>
      <c r="F206" s="264">
        <v>0</v>
      </c>
      <c r="G206" s="4"/>
    </row>
    <row r="207" spans="1:7" x14ac:dyDescent="0.25">
      <c r="A207" s="264" t="s">
        <v>2005</v>
      </c>
      <c r="B207" s="264" t="s">
        <v>1054</v>
      </c>
      <c r="C207" s="264" t="s">
        <v>1054</v>
      </c>
      <c r="D207" s="264" t="s">
        <v>1054</v>
      </c>
      <c r="E207" s="264">
        <v>9999</v>
      </c>
      <c r="F207" s="264">
        <v>0</v>
      </c>
      <c r="G207" s="4"/>
    </row>
    <row r="208" spans="1:7" x14ac:dyDescent="0.25">
      <c r="A208" s="264" t="s">
        <v>2005</v>
      </c>
      <c r="B208" s="264" t="s">
        <v>1054</v>
      </c>
      <c r="C208" s="264" t="s">
        <v>1054</v>
      </c>
      <c r="D208" s="264" t="s">
        <v>1054</v>
      </c>
      <c r="E208" s="264">
        <v>9999</v>
      </c>
      <c r="F208" s="264">
        <v>0</v>
      </c>
      <c r="G208" s="4"/>
    </row>
    <row r="209" spans="1:7" x14ac:dyDescent="0.25">
      <c r="A209" s="264" t="s">
        <v>2005</v>
      </c>
      <c r="B209" s="264" t="s">
        <v>1054</v>
      </c>
      <c r="C209" s="264" t="s">
        <v>1054</v>
      </c>
      <c r="D209" s="264" t="s">
        <v>1054</v>
      </c>
      <c r="E209" s="264">
        <v>9999</v>
      </c>
      <c r="F209" s="264">
        <v>0</v>
      </c>
      <c r="G209" s="4"/>
    </row>
    <row r="210" spans="1:7" x14ac:dyDescent="0.25">
      <c r="A210" s="264" t="s">
        <v>2005</v>
      </c>
      <c r="B210" s="264" t="s">
        <v>1054</v>
      </c>
      <c r="C210" s="264" t="s">
        <v>1054</v>
      </c>
      <c r="D210" s="264" t="s">
        <v>1054</v>
      </c>
      <c r="E210" s="264">
        <v>9999</v>
      </c>
      <c r="F210" s="264">
        <v>0</v>
      </c>
      <c r="G210" s="4"/>
    </row>
    <row r="211" spans="1:7" x14ac:dyDescent="0.25">
      <c r="A211" s="264" t="s">
        <v>2005</v>
      </c>
      <c r="B211" s="264" t="s">
        <v>1054</v>
      </c>
      <c r="C211" s="264" t="s">
        <v>1054</v>
      </c>
      <c r="D211" s="264" t="s">
        <v>1054</v>
      </c>
      <c r="E211" s="264">
        <v>9999</v>
      </c>
      <c r="F211" s="264">
        <v>0</v>
      </c>
      <c r="G211" s="4"/>
    </row>
    <row r="212" spans="1:7" x14ac:dyDescent="0.25">
      <c r="A212" s="264" t="s">
        <v>2005</v>
      </c>
      <c r="B212" s="264" t="s">
        <v>1054</v>
      </c>
      <c r="C212" s="264" t="s">
        <v>1054</v>
      </c>
      <c r="D212" s="264" t="s">
        <v>1054</v>
      </c>
      <c r="E212" s="264">
        <v>9999</v>
      </c>
      <c r="F212" s="264">
        <v>0</v>
      </c>
      <c r="G212" s="4"/>
    </row>
    <row r="213" spans="1:7" x14ac:dyDescent="0.25">
      <c r="A213" s="264" t="s">
        <v>2005</v>
      </c>
      <c r="B213" s="264" t="s">
        <v>1054</v>
      </c>
      <c r="C213" s="264" t="s">
        <v>1054</v>
      </c>
      <c r="D213" s="264" t="s">
        <v>1054</v>
      </c>
      <c r="E213" s="264">
        <v>9999</v>
      </c>
      <c r="F213" s="264">
        <v>0</v>
      </c>
      <c r="G213" s="4"/>
    </row>
    <row r="214" spans="1:7" x14ac:dyDescent="0.25">
      <c r="A214" s="264" t="s">
        <v>2005</v>
      </c>
      <c r="B214" s="264" t="s">
        <v>1054</v>
      </c>
      <c r="C214" s="264" t="s">
        <v>1054</v>
      </c>
      <c r="D214" s="264" t="s">
        <v>1054</v>
      </c>
      <c r="E214" s="264">
        <v>9999</v>
      </c>
      <c r="F214" s="264">
        <v>0</v>
      </c>
      <c r="G214" s="4"/>
    </row>
    <row r="215" spans="1:7" x14ac:dyDescent="0.25">
      <c r="A215" s="264" t="s">
        <v>2005</v>
      </c>
      <c r="B215" s="264" t="s">
        <v>1054</v>
      </c>
      <c r="C215" s="264" t="s">
        <v>1054</v>
      </c>
      <c r="D215" s="264" t="s">
        <v>1054</v>
      </c>
      <c r="E215" s="264">
        <v>9999</v>
      </c>
      <c r="F215" s="264">
        <v>0</v>
      </c>
      <c r="G215" s="4"/>
    </row>
    <row r="216" spans="1:7" x14ac:dyDescent="0.25">
      <c r="A216" s="264" t="s">
        <v>2005</v>
      </c>
      <c r="B216" s="264" t="s">
        <v>1054</v>
      </c>
      <c r="C216" s="264" t="s">
        <v>1054</v>
      </c>
      <c r="D216" s="264" t="s">
        <v>1054</v>
      </c>
      <c r="E216" s="264">
        <v>9999</v>
      </c>
      <c r="F216" s="264">
        <v>0</v>
      </c>
      <c r="G216" s="4"/>
    </row>
    <row r="217" spans="1:7" x14ac:dyDescent="0.25">
      <c r="A217" s="264" t="s">
        <v>2005</v>
      </c>
      <c r="B217" s="264" t="s">
        <v>1054</v>
      </c>
      <c r="C217" s="264" t="s">
        <v>1054</v>
      </c>
      <c r="D217" s="264" t="s">
        <v>1054</v>
      </c>
      <c r="E217" s="264">
        <v>9999</v>
      </c>
      <c r="F217" s="264">
        <v>0</v>
      </c>
      <c r="G217" s="4"/>
    </row>
    <row r="218" spans="1:7" x14ac:dyDescent="0.25">
      <c r="A218" s="264" t="s">
        <v>2005</v>
      </c>
      <c r="B218" s="264" t="s">
        <v>1054</v>
      </c>
      <c r="C218" s="264" t="s">
        <v>1054</v>
      </c>
      <c r="D218" s="264" t="s">
        <v>1054</v>
      </c>
      <c r="E218" s="264">
        <v>9999</v>
      </c>
      <c r="F218" s="264">
        <v>0</v>
      </c>
      <c r="G218" s="4"/>
    </row>
    <row r="219" spans="1:7" x14ac:dyDescent="0.25">
      <c r="A219" s="264" t="s">
        <v>2005</v>
      </c>
      <c r="B219" s="264" t="s">
        <v>1054</v>
      </c>
      <c r="C219" s="264" t="s">
        <v>1054</v>
      </c>
      <c r="D219" s="264" t="s">
        <v>1054</v>
      </c>
      <c r="E219" s="264">
        <v>9999</v>
      </c>
      <c r="F219" s="264">
        <v>0</v>
      </c>
      <c r="G219" s="4"/>
    </row>
    <row r="220" spans="1:7" x14ac:dyDescent="0.25">
      <c r="A220" s="264" t="s">
        <v>2005</v>
      </c>
      <c r="B220" s="264" t="s">
        <v>1054</v>
      </c>
      <c r="C220" s="264" t="s">
        <v>1054</v>
      </c>
      <c r="D220" s="264" t="s">
        <v>1054</v>
      </c>
      <c r="E220" s="264">
        <v>9999</v>
      </c>
      <c r="F220" s="264">
        <v>0</v>
      </c>
      <c r="G220" s="4"/>
    </row>
    <row r="221" spans="1:7" x14ac:dyDescent="0.25">
      <c r="A221" s="264" t="s">
        <v>2005</v>
      </c>
      <c r="B221" s="264" t="s">
        <v>1054</v>
      </c>
      <c r="C221" s="264" t="s">
        <v>1054</v>
      </c>
      <c r="D221" s="264" t="s">
        <v>1054</v>
      </c>
      <c r="E221" s="264">
        <v>9999</v>
      </c>
      <c r="F221" s="264">
        <v>0</v>
      </c>
      <c r="G221" s="4"/>
    </row>
    <row r="222" spans="1:7" x14ac:dyDescent="0.25">
      <c r="A222" s="264" t="s">
        <v>2005</v>
      </c>
      <c r="B222" s="264" t="s">
        <v>1054</v>
      </c>
      <c r="C222" s="264" t="s">
        <v>1054</v>
      </c>
      <c r="D222" s="264" t="s">
        <v>1054</v>
      </c>
      <c r="E222" s="264">
        <v>9999</v>
      </c>
      <c r="F222" s="264">
        <v>0</v>
      </c>
      <c r="G222" s="4"/>
    </row>
    <row r="223" spans="1:7" x14ac:dyDescent="0.25">
      <c r="A223" s="264" t="s">
        <v>2005</v>
      </c>
      <c r="B223" s="264" t="s">
        <v>1054</v>
      </c>
      <c r="C223" s="264" t="s">
        <v>1054</v>
      </c>
      <c r="D223" s="264" t="s">
        <v>1054</v>
      </c>
      <c r="E223" s="264">
        <v>9999</v>
      </c>
      <c r="F223" s="264">
        <v>0</v>
      </c>
      <c r="G223" s="4"/>
    </row>
    <row r="224" spans="1:7" x14ac:dyDescent="0.25">
      <c r="A224" s="264" t="s">
        <v>2005</v>
      </c>
      <c r="B224" s="264" t="s">
        <v>1054</v>
      </c>
      <c r="C224" s="264" t="s">
        <v>1054</v>
      </c>
      <c r="D224" s="264" t="s">
        <v>1054</v>
      </c>
      <c r="E224" s="264">
        <v>9999</v>
      </c>
      <c r="F224" s="264">
        <v>0</v>
      </c>
      <c r="G224" s="4"/>
    </row>
    <row r="225" spans="1:7" x14ac:dyDescent="0.25">
      <c r="A225" s="264" t="s">
        <v>2005</v>
      </c>
      <c r="B225" s="264" t="s">
        <v>1054</v>
      </c>
      <c r="C225" s="264" t="s">
        <v>1054</v>
      </c>
      <c r="D225" s="264" t="s">
        <v>1054</v>
      </c>
      <c r="E225" s="264">
        <v>9999</v>
      </c>
      <c r="F225" s="264">
        <v>0</v>
      </c>
      <c r="G225" s="4"/>
    </row>
    <row r="226" spans="1:7" x14ac:dyDescent="0.25">
      <c r="A226" s="264" t="s">
        <v>2005</v>
      </c>
      <c r="B226" s="264" t="s">
        <v>1054</v>
      </c>
      <c r="C226" s="264" t="s">
        <v>1054</v>
      </c>
      <c r="D226" s="264" t="s">
        <v>1054</v>
      </c>
      <c r="E226" s="264">
        <v>9999</v>
      </c>
      <c r="F226" s="264">
        <v>0</v>
      </c>
      <c r="G226" s="4"/>
    </row>
    <row r="227" spans="1:7" x14ac:dyDescent="0.25">
      <c r="A227" s="264" t="s">
        <v>2005</v>
      </c>
      <c r="B227" s="264" t="s">
        <v>1054</v>
      </c>
      <c r="C227" s="264" t="s">
        <v>1054</v>
      </c>
      <c r="D227" s="264" t="s">
        <v>1054</v>
      </c>
      <c r="E227" s="264">
        <v>9999</v>
      </c>
      <c r="F227" s="264">
        <v>0</v>
      </c>
      <c r="G227" s="4"/>
    </row>
    <row r="228" spans="1:7" x14ac:dyDescent="0.25">
      <c r="A228" s="264" t="s">
        <v>2005</v>
      </c>
      <c r="B228" s="264" t="s">
        <v>1054</v>
      </c>
      <c r="C228" s="264" t="s">
        <v>1054</v>
      </c>
      <c r="D228" s="264" t="s">
        <v>1054</v>
      </c>
      <c r="E228" s="264">
        <v>9999</v>
      </c>
      <c r="F228" s="264">
        <v>0</v>
      </c>
      <c r="G228" s="4"/>
    </row>
    <row r="229" spans="1:7" x14ac:dyDescent="0.25">
      <c r="A229" s="264" t="s">
        <v>2005</v>
      </c>
      <c r="B229" s="264" t="s">
        <v>1054</v>
      </c>
      <c r="C229" s="264" t="s">
        <v>1054</v>
      </c>
      <c r="D229" s="264" t="s">
        <v>1054</v>
      </c>
      <c r="E229" s="264">
        <v>9999</v>
      </c>
      <c r="F229" s="264">
        <v>0</v>
      </c>
      <c r="G229" s="4"/>
    </row>
    <row r="230" spans="1:7" x14ac:dyDescent="0.25">
      <c r="A230" s="264" t="s">
        <v>2005</v>
      </c>
      <c r="B230" s="264" t="s">
        <v>1054</v>
      </c>
      <c r="C230" s="264" t="s">
        <v>1054</v>
      </c>
      <c r="D230" s="264" t="s">
        <v>1054</v>
      </c>
      <c r="E230" s="264">
        <v>9999</v>
      </c>
      <c r="F230" s="264">
        <v>0</v>
      </c>
      <c r="G230" s="4"/>
    </row>
    <row r="231" spans="1:7" x14ac:dyDescent="0.25">
      <c r="A231" s="264" t="s">
        <v>2005</v>
      </c>
      <c r="B231" s="264" t="s">
        <v>1054</v>
      </c>
      <c r="C231" s="264" t="s">
        <v>1054</v>
      </c>
      <c r="D231" s="264" t="s">
        <v>1054</v>
      </c>
      <c r="E231" s="264">
        <v>9999</v>
      </c>
      <c r="F231" s="264">
        <v>0</v>
      </c>
      <c r="G231" s="4"/>
    </row>
    <row r="232" spans="1:7" x14ac:dyDescent="0.25">
      <c r="A232" s="264" t="s">
        <v>2005</v>
      </c>
      <c r="B232" s="264" t="s">
        <v>1054</v>
      </c>
      <c r="C232" s="264" t="s">
        <v>1054</v>
      </c>
      <c r="D232" s="264" t="s">
        <v>1054</v>
      </c>
      <c r="E232" s="264">
        <v>9999</v>
      </c>
      <c r="F232" s="264">
        <v>0</v>
      </c>
      <c r="G232" s="4"/>
    </row>
    <row r="233" spans="1:7" x14ac:dyDescent="0.25">
      <c r="A233" s="264" t="s">
        <v>2005</v>
      </c>
      <c r="B233" s="264" t="s">
        <v>1054</v>
      </c>
      <c r="C233" s="264" t="s">
        <v>1054</v>
      </c>
      <c r="D233" s="264" t="s">
        <v>1054</v>
      </c>
      <c r="E233" s="264">
        <v>9999</v>
      </c>
      <c r="F233" s="264">
        <v>0</v>
      </c>
      <c r="G233" s="4"/>
    </row>
    <row r="234" spans="1:7" x14ac:dyDescent="0.25">
      <c r="A234" s="264" t="s">
        <v>2005</v>
      </c>
      <c r="B234" s="264" t="s">
        <v>1054</v>
      </c>
      <c r="C234" s="264" t="s">
        <v>1054</v>
      </c>
      <c r="D234" s="264" t="s">
        <v>1054</v>
      </c>
      <c r="E234" s="264">
        <v>9999</v>
      </c>
      <c r="F234" s="264">
        <v>0</v>
      </c>
      <c r="G234" s="4"/>
    </row>
    <row r="235" spans="1:7" x14ac:dyDescent="0.25">
      <c r="A235" s="264" t="s">
        <v>2005</v>
      </c>
      <c r="B235" s="264" t="s">
        <v>1054</v>
      </c>
      <c r="C235" s="264" t="s">
        <v>1054</v>
      </c>
      <c r="D235" s="264" t="s">
        <v>1054</v>
      </c>
      <c r="E235" s="264">
        <v>9999</v>
      </c>
      <c r="F235" s="264">
        <v>0</v>
      </c>
      <c r="G235" s="4"/>
    </row>
    <row r="236" spans="1:7" x14ac:dyDescent="0.25">
      <c r="A236" s="264" t="s">
        <v>2005</v>
      </c>
      <c r="B236" s="264" t="s">
        <v>1054</v>
      </c>
      <c r="C236" s="264" t="s">
        <v>1054</v>
      </c>
      <c r="D236" s="264" t="s">
        <v>1054</v>
      </c>
      <c r="E236" s="264">
        <v>9999</v>
      </c>
      <c r="F236" s="264">
        <v>0</v>
      </c>
      <c r="G236" s="4"/>
    </row>
    <row r="237" spans="1:7" x14ac:dyDescent="0.25">
      <c r="A237" s="264" t="s">
        <v>2005</v>
      </c>
      <c r="B237" s="264" t="s">
        <v>1054</v>
      </c>
      <c r="C237" s="264" t="s">
        <v>1054</v>
      </c>
      <c r="D237" s="264" t="s">
        <v>1054</v>
      </c>
      <c r="E237" s="264">
        <v>9999</v>
      </c>
      <c r="F237" s="264">
        <v>0</v>
      </c>
      <c r="G237" s="4"/>
    </row>
    <row r="238" spans="1:7" x14ac:dyDescent="0.25">
      <c r="A238" s="264" t="s">
        <v>2005</v>
      </c>
      <c r="B238" s="264" t="s">
        <v>1054</v>
      </c>
      <c r="C238" s="264" t="s">
        <v>1054</v>
      </c>
      <c r="D238" s="264" t="s">
        <v>1054</v>
      </c>
      <c r="E238" s="264">
        <v>9999</v>
      </c>
      <c r="F238" s="264">
        <v>0</v>
      </c>
      <c r="G238" s="4"/>
    </row>
    <row r="239" spans="1:7" x14ac:dyDescent="0.25">
      <c r="A239" s="264" t="s">
        <v>2005</v>
      </c>
      <c r="B239" s="264" t="s">
        <v>1054</v>
      </c>
      <c r="C239" s="264" t="s">
        <v>1054</v>
      </c>
      <c r="D239" s="264" t="s">
        <v>1054</v>
      </c>
      <c r="E239" s="264">
        <v>9999</v>
      </c>
      <c r="F239" s="264">
        <v>0</v>
      </c>
      <c r="G239" s="4"/>
    </row>
    <row r="240" spans="1:7" x14ac:dyDescent="0.25">
      <c r="A240" s="264" t="s">
        <v>2005</v>
      </c>
      <c r="B240" s="264" t="s">
        <v>1054</v>
      </c>
      <c r="C240" s="264" t="s">
        <v>1054</v>
      </c>
      <c r="D240" s="264" t="s">
        <v>1054</v>
      </c>
      <c r="E240" s="264">
        <v>9999</v>
      </c>
      <c r="F240" s="264">
        <v>0</v>
      </c>
      <c r="G240" s="4"/>
    </row>
    <row r="241" spans="1:7" x14ac:dyDescent="0.25">
      <c r="A241" s="264" t="s">
        <v>2005</v>
      </c>
      <c r="B241" s="264" t="s">
        <v>1054</v>
      </c>
      <c r="C241" s="264" t="s">
        <v>1054</v>
      </c>
      <c r="D241" s="264" t="s">
        <v>1054</v>
      </c>
      <c r="E241" s="264">
        <v>9999</v>
      </c>
      <c r="F241" s="264">
        <v>0</v>
      </c>
      <c r="G241" s="4"/>
    </row>
    <row r="242" spans="1:7" x14ac:dyDescent="0.25">
      <c r="A242" s="264" t="s">
        <v>2005</v>
      </c>
      <c r="B242" s="264" t="s">
        <v>1054</v>
      </c>
      <c r="C242" s="264" t="s">
        <v>1054</v>
      </c>
      <c r="D242" s="264" t="s">
        <v>1054</v>
      </c>
      <c r="E242" s="264">
        <v>9999</v>
      </c>
      <c r="F242" s="264">
        <v>0</v>
      </c>
      <c r="G242" s="4"/>
    </row>
    <row r="243" spans="1:7" x14ac:dyDescent="0.25">
      <c r="A243" s="264" t="s">
        <v>2005</v>
      </c>
      <c r="B243" s="264" t="s">
        <v>1054</v>
      </c>
      <c r="C243" s="264" t="s">
        <v>1054</v>
      </c>
      <c r="D243" s="264" t="s">
        <v>1054</v>
      </c>
      <c r="E243" s="264">
        <v>9999</v>
      </c>
      <c r="F243" s="264">
        <v>0</v>
      </c>
      <c r="G243" s="4"/>
    </row>
    <row r="244" spans="1:7" x14ac:dyDescent="0.25">
      <c r="A244" s="264" t="s">
        <v>2005</v>
      </c>
      <c r="B244" s="264" t="s">
        <v>1054</v>
      </c>
      <c r="C244" s="264" t="s">
        <v>1054</v>
      </c>
      <c r="D244" s="264" t="s">
        <v>1054</v>
      </c>
      <c r="E244" s="264">
        <v>9999</v>
      </c>
      <c r="F244" s="264">
        <v>0</v>
      </c>
      <c r="G244" s="4"/>
    </row>
    <row r="245" spans="1:7" x14ac:dyDescent="0.25">
      <c r="A245" s="264" t="s">
        <v>2005</v>
      </c>
      <c r="B245" s="264" t="s">
        <v>1054</v>
      </c>
      <c r="C245" s="264" t="s">
        <v>1054</v>
      </c>
      <c r="D245" s="264" t="s">
        <v>1054</v>
      </c>
      <c r="E245" s="264">
        <v>9999</v>
      </c>
      <c r="F245" s="264">
        <v>0</v>
      </c>
      <c r="G245" s="4"/>
    </row>
    <row r="246" spans="1:7" x14ac:dyDescent="0.25">
      <c r="A246" s="264" t="s">
        <v>2005</v>
      </c>
      <c r="B246" s="264" t="s">
        <v>1054</v>
      </c>
      <c r="C246" s="264" t="s">
        <v>1054</v>
      </c>
      <c r="D246" s="264" t="s">
        <v>1054</v>
      </c>
      <c r="E246" s="264">
        <v>9999</v>
      </c>
      <c r="F246" s="264">
        <v>0</v>
      </c>
      <c r="G246" s="4"/>
    </row>
    <row r="247" spans="1:7" x14ac:dyDescent="0.25">
      <c r="A247" s="264" t="s">
        <v>2005</v>
      </c>
      <c r="B247" s="264" t="s">
        <v>1054</v>
      </c>
      <c r="C247" s="264" t="s">
        <v>1054</v>
      </c>
      <c r="D247" s="264" t="s">
        <v>1054</v>
      </c>
      <c r="E247" s="264">
        <v>9999</v>
      </c>
      <c r="F247" s="264">
        <v>0</v>
      </c>
      <c r="G247" s="4"/>
    </row>
    <row r="248" spans="1:7" x14ac:dyDescent="0.25">
      <c r="A248" s="264" t="s">
        <v>2005</v>
      </c>
      <c r="B248" s="264" t="s">
        <v>1054</v>
      </c>
      <c r="C248" s="264" t="s">
        <v>1054</v>
      </c>
      <c r="D248" s="264" t="s">
        <v>1054</v>
      </c>
      <c r="E248" s="264">
        <v>9999</v>
      </c>
      <c r="F248" s="264">
        <v>0</v>
      </c>
      <c r="G248" s="4"/>
    </row>
    <row r="249" spans="1:7" x14ac:dyDescent="0.25">
      <c r="A249" s="264" t="s">
        <v>2005</v>
      </c>
      <c r="B249" s="264" t="s">
        <v>1054</v>
      </c>
      <c r="C249" s="264" t="s">
        <v>1054</v>
      </c>
      <c r="D249" s="264" t="s">
        <v>1054</v>
      </c>
      <c r="E249" s="264">
        <v>9999</v>
      </c>
      <c r="F249" s="264">
        <v>0</v>
      </c>
      <c r="G249" s="4"/>
    </row>
    <row r="250" spans="1:7" x14ac:dyDescent="0.25">
      <c r="A250" s="264" t="s">
        <v>2005</v>
      </c>
      <c r="B250" s="264" t="s">
        <v>1054</v>
      </c>
      <c r="C250" s="264" t="s">
        <v>1054</v>
      </c>
      <c r="D250" s="264" t="s">
        <v>1054</v>
      </c>
      <c r="E250" s="264">
        <v>9999</v>
      </c>
      <c r="F250" s="264">
        <v>0</v>
      </c>
      <c r="G250" s="4"/>
    </row>
    <row r="251" spans="1:7" x14ac:dyDescent="0.25">
      <c r="A251" s="264" t="s">
        <v>2005</v>
      </c>
      <c r="B251" s="264" t="s">
        <v>1054</v>
      </c>
      <c r="C251" s="264" t="s">
        <v>1054</v>
      </c>
      <c r="D251" s="264" t="s">
        <v>1054</v>
      </c>
      <c r="E251" s="264">
        <v>9999</v>
      </c>
      <c r="F251" s="264">
        <v>0</v>
      </c>
      <c r="G251" s="4"/>
    </row>
    <row r="252" spans="1:7" x14ac:dyDescent="0.25">
      <c r="A252" s="264" t="s">
        <v>2005</v>
      </c>
      <c r="B252" s="264" t="s">
        <v>1054</v>
      </c>
      <c r="C252" s="264" t="s">
        <v>1054</v>
      </c>
      <c r="D252" s="264" t="s">
        <v>1054</v>
      </c>
      <c r="E252" s="264">
        <v>9999</v>
      </c>
      <c r="F252" s="264">
        <v>0</v>
      </c>
      <c r="G252" s="4"/>
    </row>
    <row r="253" spans="1:7" x14ac:dyDescent="0.25">
      <c r="A253" s="264" t="s">
        <v>2005</v>
      </c>
      <c r="B253" s="264" t="s">
        <v>1054</v>
      </c>
      <c r="C253" s="264" t="s">
        <v>1054</v>
      </c>
      <c r="D253" s="264" t="s">
        <v>1054</v>
      </c>
      <c r="E253" s="264">
        <v>9999</v>
      </c>
      <c r="F253" s="264">
        <v>0</v>
      </c>
      <c r="G253" s="4"/>
    </row>
    <row r="254" spans="1:7" x14ac:dyDescent="0.25">
      <c r="A254" s="264" t="s">
        <v>2005</v>
      </c>
      <c r="B254" s="264" t="s">
        <v>1054</v>
      </c>
      <c r="C254" s="264" t="s">
        <v>1054</v>
      </c>
      <c r="D254" s="264" t="s">
        <v>1054</v>
      </c>
      <c r="E254" s="264">
        <v>9999</v>
      </c>
      <c r="F254" s="264">
        <v>0</v>
      </c>
      <c r="G254" s="4"/>
    </row>
    <row r="255" spans="1:7" x14ac:dyDescent="0.25">
      <c r="A255" s="264" t="s">
        <v>2005</v>
      </c>
      <c r="B255" s="264" t="s">
        <v>1054</v>
      </c>
      <c r="C255" s="264" t="s">
        <v>1054</v>
      </c>
      <c r="D255" s="264" t="s">
        <v>1054</v>
      </c>
      <c r="E255" s="264">
        <v>9999</v>
      </c>
      <c r="F255" s="264">
        <v>0</v>
      </c>
      <c r="G255" s="4"/>
    </row>
    <row r="256" spans="1:7" x14ac:dyDescent="0.25">
      <c r="A256" s="264" t="s">
        <v>2005</v>
      </c>
      <c r="B256" s="264" t="s">
        <v>1054</v>
      </c>
      <c r="C256" s="264" t="s">
        <v>1054</v>
      </c>
      <c r="D256" s="264" t="s">
        <v>1054</v>
      </c>
      <c r="E256" s="264">
        <v>9999</v>
      </c>
      <c r="F256" s="264">
        <v>0</v>
      </c>
      <c r="G256" s="4"/>
    </row>
    <row r="257" spans="1:7" x14ac:dyDescent="0.25">
      <c r="A257" s="264" t="s">
        <v>2005</v>
      </c>
      <c r="B257" s="264" t="s">
        <v>1054</v>
      </c>
      <c r="C257" s="264" t="s">
        <v>1054</v>
      </c>
      <c r="D257" s="264" t="s">
        <v>1054</v>
      </c>
      <c r="E257" s="264">
        <v>9999</v>
      </c>
      <c r="F257" s="264">
        <v>0</v>
      </c>
      <c r="G257" s="4"/>
    </row>
    <row r="258" spans="1:7" x14ac:dyDescent="0.25">
      <c r="A258" s="264" t="s">
        <v>2005</v>
      </c>
      <c r="B258" s="264" t="s">
        <v>1054</v>
      </c>
      <c r="C258" s="264" t="s">
        <v>1054</v>
      </c>
      <c r="D258" s="264" t="s">
        <v>1054</v>
      </c>
      <c r="E258" s="264">
        <v>9999</v>
      </c>
      <c r="F258" s="264">
        <v>0</v>
      </c>
      <c r="G258" s="4"/>
    </row>
    <row r="259" spans="1:7" x14ac:dyDescent="0.25">
      <c r="A259" s="264" t="s">
        <v>2005</v>
      </c>
      <c r="B259" s="264" t="s">
        <v>1054</v>
      </c>
      <c r="C259" s="264" t="s">
        <v>1054</v>
      </c>
      <c r="D259" s="264" t="s">
        <v>1054</v>
      </c>
      <c r="E259" s="264">
        <v>9999</v>
      </c>
      <c r="F259" s="264">
        <v>0</v>
      </c>
      <c r="G259" s="4"/>
    </row>
    <row r="260" spans="1:7" x14ac:dyDescent="0.25">
      <c r="A260" s="264" t="s">
        <v>2005</v>
      </c>
      <c r="B260" s="264" t="s">
        <v>1054</v>
      </c>
      <c r="C260" s="264" t="s">
        <v>1054</v>
      </c>
      <c r="D260" s="264" t="s">
        <v>1054</v>
      </c>
      <c r="E260" s="264">
        <v>9999</v>
      </c>
      <c r="F260" s="264">
        <v>0</v>
      </c>
      <c r="G260" s="4"/>
    </row>
    <row r="261" spans="1:7" x14ac:dyDescent="0.25">
      <c r="A261" s="265" t="s">
        <v>2005</v>
      </c>
      <c r="B261" s="265" t="s">
        <v>1054</v>
      </c>
      <c r="C261" s="265" t="s">
        <v>1054</v>
      </c>
      <c r="D261" s="265" t="s">
        <v>1054</v>
      </c>
      <c r="E261" s="265">
        <v>9999</v>
      </c>
      <c r="F261" s="265">
        <v>0</v>
      </c>
      <c r="G261" s="4"/>
    </row>
    <row r="262" spans="1:7" x14ac:dyDescent="0.25">
      <c r="A262" s="265" t="s">
        <v>2005</v>
      </c>
      <c r="B262" s="265" t="s">
        <v>1054</v>
      </c>
      <c r="C262" s="265" t="s">
        <v>1054</v>
      </c>
      <c r="D262" s="265" t="s">
        <v>1054</v>
      </c>
      <c r="E262" s="265">
        <v>9999</v>
      </c>
      <c r="F262" s="265">
        <v>0</v>
      </c>
      <c r="G262" s="4"/>
    </row>
    <row r="263" spans="1:7" x14ac:dyDescent="0.25">
      <c r="A263" s="265" t="s">
        <v>2005</v>
      </c>
      <c r="B263" s="265" t="s">
        <v>1054</v>
      </c>
      <c r="C263" s="265" t="s">
        <v>1054</v>
      </c>
      <c r="D263" s="265" t="s">
        <v>1054</v>
      </c>
      <c r="E263" s="265">
        <v>9999</v>
      </c>
      <c r="F263" s="265">
        <v>0</v>
      </c>
      <c r="G263" s="4"/>
    </row>
    <row r="264" spans="1:7" x14ac:dyDescent="0.25">
      <c r="A264" s="265" t="s">
        <v>2005</v>
      </c>
      <c r="B264" s="265" t="s">
        <v>1054</v>
      </c>
      <c r="C264" s="265" t="s">
        <v>1054</v>
      </c>
      <c r="D264" s="265" t="s">
        <v>1054</v>
      </c>
      <c r="E264" s="265">
        <v>9999</v>
      </c>
      <c r="F264" s="265">
        <v>0</v>
      </c>
      <c r="G264" s="4"/>
    </row>
    <row r="265" spans="1:7" x14ac:dyDescent="0.25">
      <c r="A265" s="265" t="s">
        <v>2005</v>
      </c>
      <c r="B265" s="265" t="s">
        <v>1054</v>
      </c>
      <c r="C265" s="265" t="s">
        <v>1054</v>
      </c>
      <c r="D265" s="265" t="s">
        <v>1054</v>
      </c>
      <c r="E265" s="265">
        <v>9999</v>
      </c>
      <c r="F265" s="265">
        <v>0</v>
      </c>
      <c r="G265" s="4"/>
    </row>
    <row r="266" spans="1:7" x14ac:dyDescent="0.25">
      <c r="A266" s="265" t="s">
        <v>2005</v>
      </c>
      <c r="B266" s="265" t="s">
        <v>1054</v>
      </c>
      <c r="C266" s="265" t="s">
        <v>1054</v>
      </c>
      <c r="D266" s="265" t="s">
        <v>1054</v>
      </c>
      <c r="E266" s="265">
        <v>9999</v>
      </c>
      <c r="F266" s="265">
        <v>0</v>
      </c>
      <c r="G266" s="4"/>
    </row>
    <row r="267" spans="1:7" x14ac:dyDescent="0.25">
      <c r="A267" s="265" t="s">
        <v>2005</v>
      </c>
      <c r="B267" s="265" t="s">
        <v>1054</v>
      </c>
      <c r="C267" s="265" t="s">
        <v>1054</v>
      </c>
      <c r="D267" s="265" t="s">
        <v>1054</v>
      </c>
      <c r="E267" s="265">
        <v>9999</v>
      </c>
      <c r="F267" s="265">
        <v>0</v>
      </c>
      <c r="G267" s="4"/>
    </row>
    <row r="268" spans="1:7" x14ac:dyDescent="0.25">
      <c r="A268" s="265" t="s">
        <v>2005</v>
      </c>
      <c r="B268" s="265" t="s">
        <v>1054</v>
      </c>
      <c r="C268" s="265" t="s">
        <v>1054</v>
      </c>
      <c r="D268" s="265" t="s">
        <v>1054</v>
      </c>
      <c r="E268" s="265">
        <v>9999</v>
      </c>
      <c r="F268" s="265">
        <v>0</v>
      </c>
      <c r="G268" s="4"/>
    </row>
    <row r="269" spans="1:7" x14ac:dyDescent="0.25">
      <c r="A269" s="265" t="s">
        <v>2005</v>
      </c>
      <c r="B269" s="265" t="s">
        <v>1054</v>
      </c>
      <c r="C269" s="265" t="s">
        <v>1054</v>
      </c>
      <c r="D269" s="265" t="s">
        <v>1054</v>
      </c>
      <c r="E269" s="265">
        <v>9999</v>
      </c>
      <c r="F269" s="265">
        <v>0</v>
      </c>
      <c r="G269" s="4"/>
    </row>
    <row r="270" spans="1:7" x14ac:dyDescent="0.25">
      <c r="A270" s="265" t="s">
        <v>2005</v>
      </c>
      <c r="B270" s="265" t="s">
        <v>1054</v>
      </c>
      <c r="C270" s="265" t="s">
        <v>1054</v>
      </c>
      <c r="D270" s="265" t="s">
        <v>1054</v>
      </c>
      <c r="E270" s="265">
        <v>9999</v>
      </c>
      <c r="F270" s="265">
        <v>0</v>
      </c>
      <c r="G270" s="4"/>
    </row>
    <row r="271" spans="1:7" x14ac:dyDescent="0.25">
      <c r="A271" s="265" t="s">
        <v>2005</v>
      </c>
      <c r="B271" s="265" t="s">
        <v>1054</v>
      </c>
      <c r="C271" s="265" t="s">
        <v>1054</v>
      </c>
      <c r="D271" s="265" t="s">
        <v>1054</v>
      </c>
      <c r="E271" s="265">
        <v>9999</v>
      </c>
      <c r="F271" s="265">
        <v>0</v>
      </c>
      <c r="G271" s="4"/>
    </row>
    <row r="272" spans="1:7" x14ac:dyDescent="0.25">
      <c r="A272" s="265" t="s">
        <v>2005</v>
      </c>
      <c r="B272" s="265" t="s">
        <v>1054</v>
      </c>
      <c r="C272" s="265" t="s">
        <v>1054</v>
      </c>
      <c r="D272" s="265" t="s">
        <v>1054</v>
      </c>
      <c r="E272" s="265">
        <v>9999</v>
      </c>
      <c r="F272" s="265">
        <v>0</v>
      </c>
      <c r="G272" s="4"/>
    </row>
    <row r="273" spans="1:7" x14ac:dyDescent="0.25">
      <c r="A273" s="265" t="s">
        <v>2005</v>
      </c>
      <c r="B273" s="265" t="s">
        <v>1054</v>
      </c>
      <c r="C273" s="265" t="s">
        <v>1054</v>
      </c>
      <c r="D273" s="265" t="s">
        <v>1054</v>
      </c>
      <c r="E273" s="265">
        <v>9999</v>
      </c>
      <c r="F273" s="265">
        <v>0</v>
      </c>
      <c r="G273" s="4"/>
    </row>
    <row r="274" spans="1:7" x14ac:dyDescent="0.25">
      <c r="A274" s="265" t="s">
        <v>2005</v>
      </c>
      <c r="B274" s="265" t="s">
        <v>1054</v>
      </c>
      <c r="C274" s="265" t="s">
        <v>1054</v>
      </c>
      <c r="D274" s="265" t="s">
        <v>1054</v>
      </c>
      <c r="E274" s="265">
        <v>9999</v>
      </c>
      <c r="F274" s="265">
        <v>0</v>
      </c>
      <c r="G274" s="4"/>
    </row>
    <row r="275" spans="1:7" x14ac:dyDescent="0.25">
      <c r="A275" s="265" t="s">
        <v>2005</v>
      </c>
      <c r="B275" s="265" t="s">
        <v>1054</v>
      </c>
      <c r="C275" s="265" t="s">
        <v>1054</v>
      </c>
      <c r="D275" s="265" t="s">
        <v>1054</v>
      </c>
      <c r="E275" s="265">
        <v>9999</v>
      </c>
      <c r="F275" s="265">
        <v>0</v>
      </c>
      <c r="G275" s="4"/>
    </row>
    <row r="276" spans="1:7" x14ac:dyDescent="0.25">
      <c r="A276" s="265" t="s">
        <v>2005</v>
      </c>
      <c r="B276" s="265" t="s">
        <v>1054</v>
      </c>
      <c r="C276" s="265" t="s">
        <v>1054</v>
      </c>
      <c r="D276" s="265" t="s">
        <v>1054</v>
      </c>
      <c r="E276" s="265">
        <v>9999</v>
      </c>
      <c r="F276" s="265">
        <v>0</v>
      </c>
      <c r="G276" s="4"/>
    </row>
    <row r="277" spans="1:7" x14ac:dyDescent="0.25">
      <c r="A277" s="265" t="s">
        <v>2005</v>
      </c>
      <c r="B277" s="265" t="s">
        <v>1054</v>
      </c>
      <c r="C277" s="265" t="s">
        <v>1054</v>
      </c>
      <c r="D277" s="265" t="s">
        <v>1054</v>
      </c>
      <c r="E277" s="265">
        <v>9999</v>
      </c>
      <c r="F277" s="265">
        <v>0</v>
      </c>
      <c r="G277" s="4"/>
    </row>
    <row r="278" spans="1:7" x14ac:dyDescent="0.25">
      <c r="A278" s="265" t="s">
        <v>2005</v>
      </c>
      <c r="B278" s="265" t="s">
        <v>1054</v>
      </c>
      <c r="C278" s="265" t="s">
        <v>1054</v>
      </c>
      <c r="D278" s="265" t="s">
        <v>1054</v>
      </c>
      <c r="E278" s="265">
        <v>9999</v>
      </c>
      <c r="F278" s="265">
        <v>0</v>
      </c>
      <c r="G278" s="4"/>
    </row>
    <row r="279" spans="1:7" x14ac:dyDescent="0.25">
      <c r="A279" s="265" t="s">
        <v>2005</v>
      </c>
      <c r="B279" s="265" t="s">
        <v>1054</v>
      </c>
      <c r="C279" s="265" t="s">
        <v>1054</v>
      </c>
      <c r="D279" s="265" t="s">
        <v>1054</v>
      </c>
      <c r="E279" s="265">
        <v>9999</v>
      </c>
      <c r="F279" s="265">
        <v>0</v>
      </c>
      <c r="G279" s="4"/>
    </row>
    <row r="280" spans="1:7" x14ac:dyDescent="0.25">
      <c r="A280" s="265" t="s">
        <v>2005</v>
      </c>
      <c r="B280" s="265" t="s">
        <v>1054</v>
      </c>
      <c r="C280" s="265" t="s">
        <v>1054</v>
      </c>
      <c r="D280" s="265" t="s">
        <v>1054</v>
      </c>
      <c r="E280" s="265">
        <v>9999</v>
      </c>
      <c r="F280" s="265">
        <v>0</v>
      </c>
      <c r="G280" s="4"/>
    </row>
    <row r="281" spans="1:7" x14ac:dyDescent="0.25">
      <c r="A281" s="265" t="s">
        <v>2005</v>
      </c>
      <c r="B281" s="265" t="s">
        <v>1054</v>
      </c>
      <c r="C281" s="265" t="s">
        <v>1054</v>
      </c>
      <c r="D281" s="265" t="s">
        <v>1054</v>
      </c>
      <c r="E281" s="265">
        <v>9999</v>
      </c>
      <c r="F281" s="265">
        <v>0</v>
      </c>
      <c r="G281" s="4"/>
    </row>
    <row r="282" spans="1:7" x14ac:dyDescent="0.25">
      <c r="A282" s="265" t="s">
        <v>2005</v>
      </c>
      <c r="B282" s="265" t="s">
        <v>1054</v>
      </c>
      <c r="C282" s="265" t="s">
        <v>1054</v>
      </c>
      <c r="D282" s="265" t="s">
        <v>1054</v>
      </c>
      <c r="E282" s="265">
        <v>9999</v>
      </c>
      <c r="F282" s="265">
        <v>0</v>
      </c>
      <c r="G282" s="4"/>
    </row>
    <row r="283" spans="1:7" x14ac:dyDescent="0.25">
      <c r="A283" s="265" t="s">
        <v>2005</v>
      </c>
      <c r="B283" s="265" t="s">
        <v>1054</v>
      </c>
      <c r="C283" s="265" t="s">
        <v>1054</v>
      </c>
      <c r="D283" s="265" t="s">
        <v>1054</v>
      </c>
      <c r="E283" s="265">
        <v>9999</v>
      </c>
      <c r="F283" s="265">
        <v>0</v>
      </c>
      <c r="G283" s="4"/>
    </row>
    <row r="284" spans="1:7" x14ac:dyDescent="0.25">
      <c r="A284" s="265" t="s">
        <v>2005</v>
      </c>
      <c r="B284" s="265" t="s">
        <v>1054</v>
      </c>
      <c r="C284" s="265" t="s">
        <v>1054</v>
      </c>
      <c r="D284" s="265" t="s">
        <v>1054</v>
      </c>
      <c r="E284" s="265">
        <v>9999</v>
      </c>
      <c r="F284" s="265">
        <v>0</v>
      </c>
      <c r="G284" s="4"/>
    </row>
    <row r="285" spans="1:7" x14ac:dyDescent="0.25">
      <c r="A285" s="265" t="s">
        <v>2005</v>
      </c>
      <c r="B285" s="265" t="s">
        <v>1054</v>
      </c>
      <c r="C285" s="265" t="s">
        <v>1054</v>
      </c>
      <c r="D285" s="265" t="s">
        <v>1054</v>
      </c>
      <c r="E285" s="265">
        <v>9999</v>
      </c>
      <c r="F285" s="265">
        <v>0</v>
      </c>
      <c r="G285" s="4"/>
    </row>
    <row r="286" spans="1:7" x14ac:dyDescent="0.25">
      <c r="A286" s="265" t="s">
        <v>2005</v>
      </c>
      <c r="B286" s="265" t="s">
        <v>1054</v>
      </c>
      <c r="C286" s="265" t="s">
        <v>1054</v>
      </c>
      <c r="D286" s="265" t="s">
        <v>1054</v>
      </c>
      <c r="E286" s="265">
        <v>9999</v>
      </c>
      <c r="F286" s="265">
        <v>0</v>
      </c>
      <c r="G286" s="4"/>
    </row>
    <row r="287" spans="1:7" x14ac:dyDescent="0.25">
      <c r="A287" s="265" t="s">
        <v>2005</v>
      </c>
      <c r="B287" s="265" t="s">
        <v>1054</v>
      </c>
      <c r="C287" s="265" t="s">
        <v>1054</v>
      </c>
      <c r="D287" s="265" t="s">
        <v>1054</v>
      </c>
      <c r="E287" s="265">
        <v>9999</v>
      </c>
      <c r="F287" s="265">
        <v>0</v>
      </c>
      <c r="G287" s="4"/>
    </row>
    <row r="288" spans="1:7" x14ac:dyDescent="0.25">
      <c r="A288" s="265" t="s">
        <v>2005</v>
      </c>
      <c r="B288" s="265" t="s">
        <v>1054</v>
      </c>
      <c r="C288" s="265" t="s">
        <v>1054</v>
      </c>
      <c r="D288" s="265" t="s">
        <v>1054</v>
      </c>
      <c r="E288" s="265">
        <v>9999</v>
      </c>
      <c r="F288" s="265">
        <v>0</v>
      </c>
      <c r="G288" s="4"/>
    </row>
    <row r="289" spans="1:7" x14ac:dyDescent="0.25">
      <c r="A289" s="265" t="s">
        <v>2005</v>
      </c>
      <c r="B289" s="265" t="s">
        <v>1054</v>
      </c>
      <c r="C289" s="265" t="s">
        <v>1054</v>
      </c>
      <c r="D289" s="265" t="s">
        <v>1054</v>
      </c>
      <c r="E289" s="265">
        <v>9999</v>
      </c>
      <c r="F289" s="265">
        <v>0</v>
      </c>
      <c r="G289" s="4"/>
    </row>
    <row r="290" spans="1:7" x14ac:dyDescent="0.25">
      <c r="A290" s="265" t="s">
        <v>2005</v>
      </c>
      <c r="B290" s="265" t="s">
        <v>1054</v>
      </c>
      <c r="C290" s="265" t="s">
        <v>1054</v>
      </c>
      <c r="D290" s="265" t="s">
        <v>1054</v>
      </c>
      <c r="E290" s="265">
        <v>9999</v>
      </c>
      <c r="F290" s="265">
        <v>0</v>
      </c>
      <c r="G290" s="4"/>
    </row>
    <row r="291" spans="1:7" x14ac:dyDescent="0.25">
      <c r="A291" s="265" t="s">
        <v>2005</v>
      </c>
      <c r="B291" s="265" t="s">
        <v>1054</v>
      </c>
      <c r="C291" s="265" t="s">
        <v>1054</v>
      </c>
      <c r="D291" s="265" t="s">
        <v>1054</v>
      </c>
      <c r="E291" s="265">
        <v>9999</v>
      </c>
      <c r="F291" s="265">
        <v>0</v>
      </c>
      <c r="G291" s="4"/>
    </row>
    <row r="292" spans="1:7" x14ac:dyDescent="0.25">
      <c r="A292" s="265" t="s">
        <v>2005</v>
      </c>
      <c r="B292" s="265" t="s">
        <v>1054</v>
      </c>
      <c r="C292" s="265" t="s">
        <v>1054</v>
      </c>
      <c r="D292" s="265" t="s">
        <v>1054</v>
      </c>
      <c r="E292" s="265">
        <v>9999</v>
      </c>
      <c r="F292" s="265">
        <v>0</v>
      </c>
      <c r="G292" s="4"/>
    </row>
    <row r="293" spans="1:7" x14ac:dyDescent="0.25">
      <c r="A293" s="265" t="s">
        <v>2005</v>
      </c>
      <c r="B293" s="265" t="s">
        <v>1054</v>
      </c>
      <c r="C293" s="265" t="s">
        <v>1054</v>
      </c>
      <c r="D293" s="265" t="s">
        <v>1054</v>
      </c>
      <c r="E293" s="265">
        <v>9999</v>
      </c>
      <c r="F293" s="265">
        <v>0</v>
      </c>
      <c r="G293" s="4"/>
    </row>
    <row r="294" spans="1:7" x14ac:dyDescent="0.25">
      <c r="A294" s="265" t="s">
        <v>2005</v>
      </c>
      <c r="B294" s="265" t="s">
        <v>1054</v>
      </c>
      <c r="C294" s="265" t="s">
        <v>1054</v>
      </c>
      <c r="D294" s="265" t="s">
        <v>1054</v>
      </c>
      <c r="E294" s="265">
        <v>9999</v>
      </c>
      <c r="F294" s="265">
        <v>0</v>
      </c>
      <c r="G294" s="4"/>
    </row>
    <row r="295" spans="1:7" x14ac:dyDescent="0.25">
      <c r="A295" s="265" t="s">
        <v>2005</v>
      </c>
      <c r="B295" s="265" t="s">
        <v>1054</v>
      </c>
      <c r="C295" s="265" t="s">
        <v>1054</v>
      </c>
      <c r="D295" s="265" t="s">
        <v>1054</v>
      </c>
      <c r="E295" s="265">
        <v>9999</v>
      </c>
      <c r="F295" s="265">
        <v>0</v>
      </c>
      <c r="G295" s="4"/>
    </row>
    <row r="296" spans="1:7" x14ac:dyDescent="0.25">
      <c r="A296" s="265" t="s">
        <v>2005</v>
      </c>
      <c r="B296" s="265" t="s">
        <v>1054</v>
      </c>
      <c r="C296" s="265" t="s">
        <v>1054</v>
      </c>
      <c r="D296" s="265" t="s">
        <v>1054</v>
      </c>
      <c r="E296" s="265">
        <v>9999</v>
      </c>
      <c r="F296" s="265">
        <v>0</v>
      </c>
      <c r="G296" s="4"/>
    </row>
    <row r="297" spans="1:7" x14ac:dyDescent="0.25">
      <c r="A297" s="265" t="s">
        <v>2005</v>
      </c>
      <c r="B297" s="265" t="s">
        <v>1054</v>
      </c>
      <c r="C297" s="265" t="s">
        <v>1054</v>
      </c>
      <c r="D297" s="265" t="s">
        <v>1054</v>
      </c>
      <c r="E297" s="265">
        <v>9999</v>
      </c>
      <c r="F297" s="265">
        <v>0</v>
      </c>
      <c r="G297" s="4"/>
    </row>
    <row r="298" spans="1:7" x14ac:dyDescent="0.25">
      <c r="A298" s="265" t="s">
        <v>2005</v>
      </c>
      <c r="B298" s="265" t="s">
        <v>1054</v>
      </c>
      <c r="C298" s="265" t="s">
        <v>1054</v>
      </c>
      <c r="D298" s="265" t="s">
        <v>1054</v>
      </c>
      <c r="E298" s="265">
        <v>9999</v>
      </c>
      <c r="F298" s="265">
        <v>0</v>
      </c>
      <c r="G298" s="4"/>
    </row>
    <row r="299" spans="1:7" x14ac:dyDescent="0.25">
      <c r="A299" s="265" t="s">
        <v>2005</v>
      </c>
      <c r="B299" s="265" t="s">
        <v>1054</v>
      </c>
      <c r="C299" s="265" t="s">
        <v>1054</v>
      </c>
      <c r="D299" s="265" t="s">
        <v>1054</v>
      </c>
      <c r="E299" s="265">
        <v>9999</v>
      </c>
      <c r="F299" s="265">
        <v>0</v>
      </c>
      <c r="G299" s="4"/>
    </row>
    <row r="300" spans="1:7" x14ac:dyDescent="0.25">
      <c r="A300" s="265" t="s">
        <v>2005</v>
      </c>
      <c r="B300" s="265" t="s">
        <v>1054</v>
      </c>
      <c r="C300" s="265" t="s">
        <v>1054</v>
      </c>
      <c r="D300" s="265" t="s">
        <v>1054</v>
      </c>
      <c r="E300" s="265">
        <v>9999</v>
      </c>
      <c r="F300" s="265">
        <v>0</v>
      </c>
      <c r="G300" s="4"/>
    </row>
    <row r="301" spans="1:7" x14ac:dyDescent="0.25">
      <c r="A301" s="265" t="s">
        <v>2005</v>
      </c>
      <c r="B301" s="265" t="s">
        <v>1054</v>
      </c>
      <c r="C301" s="265" t="s">
        <v>1054</v>
      </c>
      <c r="D301" s="265" t="s">
        <v>1054</v>
      </c>
      <c r="E301" s="265">
        <v>9999</v>
      </c>
      <c r="F301" s="265">
        <v>0</v>
      </c>
      <c r="G301" s="4"/>
    </row>
    <row r="302" spans="1:7" x14ac:dyDescent="0.25">
      <c r="A302" s="265" t="s">
        <v>2005</v>
      </c>
      <c r="B302" s="265" t="s">
        <v>1054</v>
      </c>
      <c r="C302" s="265" t="s">
        <v>1054</v>
      </c>
      <c r="D302" s="265" t="s">
        <v>1054</v>
      </c>
      <c r="E302" s="265">
        <v>9999</v>
      </c>
      <c r="F302" s="265">
        <v>0</v>
      </c>
      <c r="G302" s="4"/>
    </row>
    <row r="303" spans="1:7" x14ac:dyDescent="0.25">
      <c r="A303" s="265" t="s">
        <v>2005</v>
      </c>
      <c r="B303" s="265" t="s">
        <v>1054</v>
      </c>
      <c r="C303" s="265" t="s">
        <v>1054</v>
      </c>
      <c r="D303" s="265" t="s">
        <v>1054</v>
      </c>
      <c r="E303" s="265">
        <v>9999</v>
      </c>
      <c r="F303" s="265">
        <v>0</v>
      </c>
      <c r="G303" s="4"/>
    </row>
    <row r="304" spans="1:7" x14ac:dyDescent="0.25">
      <c r="A304" s="265" t="s">
        <v>2005</v>
      </c>
      <c r="B304" s="265" t="s">
        <v>1054</v>
      </c>
      <c r="C304" s="265" t="s">
        <v>1054</v>
      </c>
      <c r="D304" s="265" t="s">
        <v>1054</v>
      </c>
      <c r="E304" s="265">
        <v>9999</v>
      </c>
      <c r="F304" s="265">
        <v>0</v>
      </c>
      <c r="G304" s="4"/>
    </row>
    <row r="305" spans="1:7" x14ac:dyDescent="0.25">
      <c r="A305" s="265" t="s">
        <v>2005</v>
      </c>
      <c r="B305" s="265" t="s">
        <v>1054</v>
      </c>
      <c r="C305" s="265" t="s">
        <v>1054</v>
      </c>
      <c r="D305" s="265" t="s">
        <v>1054</v>
      </c>
      <c r="E305" s="265">
        <v>9999</v>
      </c>
      <c r="F305" s="265">
        <v>0</v>
      </c>
      <c r="G305" s="4"/>
    </row>
    <row r="306" spans="1:7" x14ac:dyDescent="0.25">
      <c r="A306" s="265" t="s">
        <v>2005</v>
      </c>
      <c r="B306" s="265" t="s">
        <v>1054</v>
      </c>
      <c r="C306" s="265" t="s">
        <v>1054</v>
      </c>
      <c r="D306" s="265" t="s">
        <v>1054</v>
      </c>
      <c r="E306" s="265">
        <v>9999</v>
      </c>
      <c r="F306" s="265">
        <v>0</v>
      </c>
      <c r="G306" s="4"/>
    </row>
    <row r="307" spans="1:7" x14ac:dyDescent="0.25">
      <c r="A307" s="265" t="s">
        <v>2005</v>
      </c>
      <c r="B307" s="265" t="s">
        <v>1054</v>
      </c>
      <c r="C307" s="265" t="s">
        <v>1054</v>
      </c>
      <c r="D307" s="265" t="s">
        <v>1054</v>
      </c>
      <c r="E307" s="265">
        <v>9999</v>
      </c>
      <c r="F307" s="265">
        <v>0</v>
      </c>
      <c r="G307" s="4"/>
    </row>
    <row r="308" spans="1:7" x14ac:dyDescent="0.25">
      <c r="A308" s="265" t="s">
        <v>2005</v>
      </c>
      <c r="B308" s="265" t="s">
        <v>1054</v>
      </c>
      <c r="C308" s="265" t="s">
        <v>1054</v>
      </c>
      <c r="D308" s="265" t="s">
        <v>1054</v>
      </c>
      <c r="E308" s="265">
        <v>9999</v>
      </c>
      <c r="F308" s="265">
        <v>0</v>
      </c>
      <c r="G308" s="4"/>
    </row>
    <row r="309" spans="1:7" x14ac:dyDescent="0.25">
      <c r="A309" s="265" t="s">
        <v>2005</v>
      </c>
      <c r="B309" s="265" t="s">
        <v>1054</v>
      </c>
      <c r="C309" s="265" t="s">
        <v>1054</v>
      </c>
      <c r="D309" s="265" t="s">
        <v>1054</v>
      </c>
      <c r="E309" s="265">
        <v>9999</v>
      </c>
      <c r="F309" s="265">
        <v>0</v>
      </c>
      <c r="G309" s="4"/>
    </row>
    <row r="310" spans="1:7" x14ac:dyDescent="0.25">
      <c r="A310" s="265" t="s">
        <v>2005</v>
      </c>
      <c r="B310" s="265" t="s">
        <v>1054</v>
      </c>
      <c r="C310" s="265" t="s">
        <v>1054</v>
      </c>
      <c r="D310" s="265" t="s">
        <v>1054</v>
      </c>
      <c r="E310" s="265">
        <v>9999</v>
      </c>
      <c r="F310" s="265">
        <v>0</v>
      </c>
      <c r="G310" s="4"/>
    </row>
    <row r="311" spans="1:7" x14ac:dyDescent="0.25">
      <c r="A311" s="265" t="s">
        <v>2005</v>
      </c>
      <c r="B311" s="265" t="s">
        <v>1054</v>
      </c>
      <c r="C311" s="265" t="s">
        <v>1054</v>
      </c>
      <c r="D311" s="265" t="s">
        <v>1054</v>
      </c>
      <c r="E311" s="265">
        <v>9999</v>
      </c>
      <c r="F311" s="265">
        <v>0</v>
      </c>
      <c r="G311" s="4"/>
    </row>
    <row r="312" spans="1:7" x14ac:dyDescent="0.25">
      <c r="A312" s="265" t="s">
        <v>2005</v>
      </c>
      <c r="B312" s="265" t="s">
        <v>1054</v>
      </c>
      <c r="C312" s="265" t="s">
        <v>1054</v>
      </c>
      <c r="D312" s="265" t="s">
        <v>1054</v>
      </c>
      <c r="E312" s="265">
        <v>9999</v>
      </c>
      <c r="F312" s="265">
        <v>0</v>
      </c>
      <c r="G312" s="4"/>
    </row>
    <row r="313" spans="1:7" x14ac:dyDescent="0.25">
      <c r="A313" s="265" t="s">
        <v>2005</v>
      </c>
      <c r="B313" s="265" t="s">
        <v>1054</v>
      </c>
      <c r="C313" s="265" t="s">
        <v>1054</v>
      </c>
      <c r="D313" s="265" t="s">
        <v>1054</v>
      </c>
      <c r="E313" s="265">
        <v>9999</v>
      </c>
      <c r="F313" s="265">
        <v>0</v>
      </c>
      <c r="G313" s="4"/>
    </row>
    <row r="314" spans="1:7" x14ac:dyDescent="0.25">
      <c r="A314" s="265" t="s">
        <v>2005</v>
      </c>
      <c r="B314" s="265" t="s">
        <v>1054</v>
      </c>
      <c r="C314" s="265" t="s">
        <v>1054</v>
      </c>
      <c r="D314" s="265" t="s">
        <v>1054</v>
      </c>
      <c r="E314" s="265">
        <v>9999</v>
      </c>
      <c r="F314" s="265">
        <v>0</v>
      </c>
      <c r="G314" s="4"/>
    </row>
    <row r="315" spans="1:7" x14ac:dyDescent="0.25">
      <c r="A315" s="265" t="s">
        <v>2005</v>
      </c>
      <c r="B315" s="265" t="s">
        <v>1054</v>
      </c>
      <c r="C315" s="265" t="s">
        <v>1054</v>
      </c>
      <c r="D315" s="265" t="s">
        <v>1054</v>
      </c>
      <c r="E315" s="265">
        <v>9999</v>
      </c>
      <c r="F315" s="265">
        <v>0</v>
      </c>
      <c r="G315" s="4"/>
    </row>
    <row r="316" spans="1:7" x14ac:dyDescent="0.25">
      <c r="A316" s="265" t="s">
        <v>2005</v>
      </c>
      <c r="B316" s="265" t="s">
        <v>1054</v>
      </c>
      <c r="C316" s="265" t="s">
        <v>1054</v>
      </c>
      <c r="D316" s="265" t="s">
        <v>1054</v>
      </c>
      <c r="E316" s="265">
        <v>9999</v>
      </c>
      <c r="F316" s="265">
        <v>0</v>
      </c>
      <c r="G316" s="4"/>
    </row>
    <row r="317" spans="1:7" x14ac:dyDescent="0.25">
      <c r="A317" s="265" t="s">
        <v>2005</v>
      </c>
      <c r="B317" s="265" t="s">
        <v>1054</v>
      </c>
      <c r="C317" s="265" t="s">
        <v>1054</v>
      </c>
      <c r="D317" s="265" t="s">
        <v>1054</v>
      </c>
      <c r="E317" s="265">
        <v>9999</v>
      </c>
      <c r="F317" s="265">
        <v>0</v>
      </c>
      <c r="G317" s="4"/>
    </row>
    <row r="318" spans="1:7" x14ac:dyDescent="0.25">
      <c r="A318" s="265" t="s">
        <v>2005</v>
      </c>
      <c r="B318" s="265" t="s">
        <v>1054</v>
      </c>
      <c r="C318" s="265" t="s">
        <v>1054</v>
      </c>
      <c r="D318" s="265" t="s">
        <v>1054</v>
      </c>
      <c r="E318" s="265">
        <v>9999</v>
      </c>
      <c r="F318" s="265">
        <v>0</v>
      </c>
      <c r="G318" s="4"/>
    </row>
    <row r="319" spans="1:7" x14ac:dyDescent="0.25">
      <c r="A319" s="265" t="s">
        <v>2005</v>
      </c>
      <c r="B319" s="265" t="s">
        <v>1054</v>
      </c>
      <c r="C319" s="265" t="s">
        <v>1054</v>
      </c>
      <c r="D319" s="265" t="s">
        <v>1054</v>
      </c>
      <c r="E319" s="265">
        <v>9999</v>
      </c>
      <c r="F319" s="265">
        <v>0</v>
      </c>
      <c r="G319" s="4"/>
    </row>
    <row r="320" spans="1:7" x14ac:dyDescent="0.25">
      <c r="A320" s="265" t="s">
        <v>2005</v>
      </c>
      <c r="B320" s="265" t="s">
        <v>1054</v>
      </c>
      <c r="C320" s="265" t="s">
        <v>1054</v>
      </c>
      <c r="D320" s="265" t="s">
        <v>1054</v>
      </c>
      <c r="E320" s="265">
        <v>9999</v>
      </c>
      <c r="F320" s="265">
        <v>0</v>
      </c>
      <c r="G320" s="4"/>
    </row>
    <row r="321" spans="1:7" x14ac:dyDescent="0.25">
      <c r="A321" s="265" t="s">
        <v>2005</v>
      </c>
      <c r="B321" s="265" t="s">
        <v>1054</v>
      </c>
      <c r="C321" s="265" t="s">
        <v>1054</v>
      </c>
      <c r="D321" s="265" t="s">
        <v>1054</v>
      </c>
      <c r="E321" s="265">
        <v>9999</v>
      </c>
      <c r="F321" s="265">
        <v>0</v>
      </c>
      <c r="G321" s="4"/>
    </row>
    <row r="322" spans="1:7" x14ac:dyDescent="0.25">
      <c r="A322" s="265" t="s">
        <v>2005</v>
      </c>
      <c r="B322" s="265" t="s">
        <v>1054</v>
      </c>
      <c r="C322" s="265" t="s">
        <v>1054</v>
      </c>
      <c r="D322" s="265" t="s">
        <v>1054</v>
      </c>
      <c r="E322" s="265">
        <v>9999</v>
      </c>
      <c r="F322" s="265">
        <v>0</v>
      </c>
      <c r="G322" s="4"/>
    </row>
    <row r="323" spans="1:7" x14ac:dyDescent="0.25">
      <c r="A323" s="265" t="s">
        <v>2005</v>
      </c>
      <c r="B323" s="265" t="s">
        <v>1054</v>
      </c>
      <c r="C323" s="265" t="s">
        <v>1054</v>
      </c>
      <c r="D323" s="265" t="s">
        <v>1054</v>
      </c>
      <c r="E323" s="265">
        <v>9999</v>
      </c>
      <c r="F323" s="265">
        <v>0</v>
      </c>
      <c r="G323" s="4"/>
    </row>
    <row r="324" spans="1:7" x14ac:dyDescent="0.25">
      <c r="A324" s="265" t="s">
        <v>2005</v>
      </c>
      <c r="B324" s="265" t="s">
        <v>1054</v>
      </c>
      <c r="C324" s="265" t="s">
        <v>1054</v>
      </c>
      <c r="D324" s="265" t="s">
        <v>1054</v>
      </c>
      <c r="E324" s="265">
        <v>9999</v>
      </c>
      <c r="F324" s="265">
        <v>0</v>
      </c>
      <c r="G324" s="4"/>
    </row>
    <row r="325" spans="1:7" x14ac:dyDescent="0.25">
      <c r="A325" s="265" t="s">
        <v>2005</v>
      </c>
      <c r="B325" s="265" t="s">
        <v>1054</v>
      </c>
      <c r="C325" s="265" t="s">
        <v>1054</v>
      </c>
      <c r="D325" s="265" t="s">
        <v>1054</v>
      </c>
      <c r="E325" s="265">
        <v>9999</v>
      </c>
      <c r="F325" s="265">
        <v>0</v>
      </c>
      <c r="G325" s="4"/>
    </row>
    <row r="326" spans="1:7" x14ac:dyDescent="0.25">
      <c r="A326" s="265" t="s">
        <v>2005</v>
      </c>
      <c r="B326" s="265" t="s">
        <v>1054</v>
      </c>
      <c r="C326" s="265" t="s">
        <v>1054</v>
      </c>
      <c r="D326" s="265" t="s">
        <v>1054</v>
      </c>
      <c r="E326" s="265">
        <v>9999</v>
      </c>
      <c r="F326" s="265">
        <v>0</v>
      </c>
      <c r="G326" s="4"/>
    </row>
    <row r="327" spans="1:7" x14ac:dyDescent="0.25">
      <c r="A327" s="265" t="s">
        <v>2005</v>
      </c>
      <c r="B327" s="265" t="s">
        <v>1054</v>
      </c>
      <c r="C327" s="265" t="s">
        <v>1054</v>
      </c>
      <c r="D327" s="265" t="s">
        <v>1054</v>
      </c>
      <c r="E327" s="265">
        <v>9999</v>
      </c>
      <c r="F327" s="265">
        <v>0</v>
      </c>
      <c r="G327" s="4"/>
    </row>
    <row r="328" spans="1:7" x14ac:dyDescent="0.25">
      <c r="A328" s="265" t="s">
        <v>2005</v>
      </c>
      <c r="B328" s="265" t="s">
        <v>1054</v>
      </c>
      <c r="C328" s="265" t="s">
        <v>1054</v>
      </c>
      <c r="D328" s="265" t="s">
        <v>1054</v>
      </c>
      <c r="E328" s="265">
        <v>9999</v>
      </c>
      <c r="F328" s="265">
        <v>0</v>
      </c>
      <c r="G328" s="4"/>
    </row>
    <row r="329" spans="1:7" x14ac:dyDescent="0.25">
      <c r="A329" s="265" t="s">
        <v>2005</v>
      </c>
      <c r="B329" s="265" t="s">
        <v>1054</v>
      </c>
      <c r="C329" s="265" t="s">
        <v>1054</v>
      </c>
      <c r="D329" s="265" t="s">
        <v>1054</v>
      </c>
      <c r="E329" s="265">
        <v>9999</v>
      </c>
      <c r="F329" s="265">
        <v>0</v>
      </c>
      <c r="G329" s="4"/>
    </row>
    <row r="330" spans="1:7" x14ac:dyDescent="0.25">
      <c r="A330" s="265" t="s">
        <v>2005</v>
      </c>
      <c r="B330" s="265" t="s">
        <v>1054</v>
      </c>
      <c r="C330" s="265" t="s">
        <v>1054</v>
      </c>
      <c r="D330" s="265" t="s">
        <v>1054</v>
      </c>
      <c r="E330" s="265">
        <v>9999</v>
      </c>
      <c r="F330" s="265">
        <v>0</v>
      </c>
      <c r="G330" s="4"/>
    </row>
    <row r="331" spans="1:7" x14ac:dyDescent="0.25">
      <c r="A331" s="265" t="s">
        <v>2005</v>
      </c>
      <c r="B331" s="265" t="s">
        <v>1054</v>
      </c>
      <c r="C331" s="265" t="s">
        <v>1054</v>
      </c>
      <c r="D331" s="265" t="s">
        <v>1054</v>
      </c>
      <c r="E331" s="265">
        <v>9999</v>
      </c>
      <c r="F331" s="265">
        <v>0</v>
      </c>
      <c r="G331" s="4"/>
    </row>
    <row r="332" spans="1:7" x14ac:dyDescent="0.25">
      <c r="A332" s="265" t="s">
        <v>2005</v>
      </c>
      <c r="B332" s="265" t="s">
        <v>1054</v>
      </c>
      <c r="C332" s="265" t="s">
        <v>1054</v>
      </c>
      <c r="D332" s="265" t="s">
        <v>1054</v>
      </c>
      <c r="E332" s="265">
        <v>9999</v>
      </c>
      <c r="F332" s="265">
        <v>0</v>
      </c>
      <c r="G332" s="4"/>
    </row>
    <row r="333" spans="1:7" x14ac:dyDescent="0.25">
      <c r="A333" s="265" t="s">
        <v>2005</v>
      </c>
      <c r="B333" s="265" t="s">
        <v>1054</v>
      </c>
      <c r="C333" s="265" t="s">
        <v>1054</v>
      </c>
      <c r="D333" s="265" t="s">
        <v>1054</v>
      </c>
      <c r="E333" s="265">
        <v>9999</v>
      </c>
      <c r="F333" s="265">
        <v>0</v>
      </c>
      <c r="G333" s="4"/>
    </row>
    <row r="334" spans="1:7" x14ac:dyDescent="0.25">
      <c r="A334" s="265" t="s">
        <v>2005</v>
      </c>
      <c r="B334" s="265" t="s">
        <v>1054</v>
      </c>
      <c r="C334" s="265" t="s">
        <v>1054</v>
      </c>
      <c r="D334" s="265" t="s">
        <v>1054</v>
      </c>
      <c r="E334" s="265">
        <v>9999</v>
      </c>
      <c r="F334" s="265">
        <v>0</v>
      </c>
      <c r="G334" s="4"/>
    </row>
    <row r="335" spans="1:7" x14ac:dyDescent="0.25">
      <c r="A335" s="265" t="s">
        <v>2005</v>
      </c>
      <c r="B335" s="265" t="s">
        <v>1054</v>
      </c>
      <c r="C335" s="265" t="s">
        <v>1054</v>
      </c>
      <c r="D335" s="265" t="s">
        <v>1054</v>
      </c>
      <c r="E335" s="265">
        <v>9999</v>
      </c>
      <c r="F335" s="265">
        <v>0</v>
      </c>
      <c r="G335" s="4"/>
    </row>
    <row r="336" spans="1:7" x14ac:dyDescent="0.25">
      <c r="A336" s="265" t="s">
        <v>2005</v>
      </c>
      <c r="B336" s="265" t="s">
        <v>1054</v>
      </c>
      <c r="C336" s="265" t="s">
        <v>1054</v>
      </c>
      <c r="D336" s="265" t="s">
        <v>1054</v>
      </c>
      <c r="E336" s="265">
        <v>9999</v>
      </c>
      <c r="F336" s="265">
        <v>0</v>
      </c>
      <c r="G336" s="4"/>
    </row>
    <row r="337" spans="1:7" x14ac:dyDescent="0.25">
      <c r="A337" s="265" t="s">
        <v>2005</v>
      </c>
      <c r="B337" s="265" t="s">
        <v>1054</v>
      </c>
      <c r="C337" s="265" t="s">
        <v>1054</v>
      </c>
      <c r="D337" s="265" t="s">
        <v>1054</v>
      </c>
      <c r="E337" s="265">
        <v>9999</v>
      </c>
      <c r="F337" s="265">
        <v>0</v>
      </c>
      <c r="G337" s="4"/>
    </row>
    <row r="338" spans="1:7" x14ac:dyDescent="0.25">
      <c r="A338" s="265" t="s">
        <v>2005</v>
      </c>
      <c r="B338" s="265" t="s">
        <v>1054</v>
      </c>
      <c r="C338" s="265" t="s">
        <v>1054</v>
      </c>
      <c r="D338" s="265" t="s">
        <v>1054</v>
      </c>
      <c r="E338" s="265">
        <v>9999</v>
      </c>
      <c r="F338" s="265">
        <v>0</v>
      </c>
      <c r="G338" s="4"/>
    </row>
    <row r="339" spans="1:7" x14ac:dyDescent="0.25">
      <c r="A339" s="265" t="s">
        <v>2005</v>
      </c>
      <c r="B339" s="265" t="s">
        <v>1054</v>
      </c>
      <c r="C339" s="265" t="s">
        <v>1054</v>
      </c>
      <c r="D339" s="265" t="s">
        <v>1054</v>
      </c>
      <c r="E339" s="265">
        <v>9999</v>
      </c>
      <c r="F339" s="265">
        <v>0</v>
      </c>
      <c r="G339" s="4"/>
    </row>
    <row r="340" spans="1:7" x14ac:dyDescent="0.25">
      <c r="A340" s="265" t="s">
        <v>2005</v>
      </c>
      <c r="B340" s="265" t="s">
        <v>1054</v>
      </c>
      <c r="C340" s="265" t="s">
        <v>1054</v>
      </c>
      <c r="D340" s="265" t="s">
        <v>1054</v>
      </c>
      <c r="E340" s="265">
        <v>9999</v>
      </c>
      <c r="F340" s="265">
        <v>0</v>
      </c>
      <c r="G340" s="4"/>
    </row>
    <row r="341" spans="1:7" x14ac:dyDescent="0.25">
      <c r="A341" s="265" t="s">
        <v>2005</v>
      </c>
      <c r="B341" s="265" t="s">
        <v>1054</v>
      </c>
      <c r="C341" s="265" t="s">
        <v>1054</v>
      </c>
      <c r="D341" s="265" t="s">
        <v>1054</v>
      </c>
      <c r="E341" s="265">
        <v>9999</v>
      </c>
      <c r="F341" s="265">
        <v>0</v>
      </c>
      <c r="G341" s="4"/>
    </row>
    <row r="342" spans="1:7" x14ac:dyDescent="0.25">
      <c r="A342" s="265" t="s">
        <v>2005</v>
      </c>
      <c r="B342" s="265" t="s">
        <v>1054</v>
      </c>
      <c r="C342" s="265" t="s">
        <v>1054</v>
      </c>
      <c r="D342" s="265" t="s">
        <v>1054</v>
      </c>
      <c r="E342" s="265">
        <v>9999</v>
      </c>
      <c r="F342" s="265">
        <v>0</v>
      </c>
      <c r="G342" s="4"/>
    </row>
    <row r="343" spans="1:7" x14ac:dyDescent="0.25">
      <c r="A343" s="265" t="s">
        <v>2005</v>
      </c>
      <c r="B343" s="265" t="s">
        <v>1054</v>
      </c>
      <c r="C343" s="265" t="s">
        <v>1054</v>
      </c>
      <c r="D343" s="265" t="s">
        <v>1054</v>
      </c>
      <c r="E343" s="265">
        <v>9999</v>
      </c>
      <c r="F343" s="265">
        <v>0</v>
      </c>
      <c r="G343" s="4"/>
    </row>
    <row r="344" spans="1:7" x14ac:dyDescent="0.25">
      <c r="A344" s="265" t="s">
        <v>2005</v>
      </c>
      <c r="B344" s="265" t="s">
        <v>1054</v>
      </c>
      <c r="C344" s="265" t="s">
        <v>1054</v>
      </c>
      <c r="D344" s="265" t="s">
        <v>1054</v>
      </c>
      <c r="E344" s="265">
        <v>9999</v>
      </c>
      <c r="F344" s="265">
        <v>0</v>
      </c>
      <c r="G344" s="4"/>
    </row>
    <row r="345" spans="1:7" x14ac:dyDescent="0.25">
      <c r="A345" s="265" t="s">
        <v>2005</v>
      </c>
      <c r="B345" s="265" t="s">
        <v>1054</v>
      </c>
      <c r="C345" s="265" t="s">
        <v>1054</v>
      </c>
      <c r="D345" s="265" t="s">
        <v>1054</v>
      </c>
      <c r="E345" s="265">
        <v>9999</v>
      </c>
      <c r="F345" s="265">
        <v>0</v>
      </c>
      <c r="G345" s="4"/>
    </row>
    <row r="346" spans="1:7" x14ac:dyDescent="0.25">
      <c r="A346" s="265" t="s">
        <v>2005</v>
      </c>
      <c r="B346" s="265" t="s">
        <v>1054</v>
      </c>
      <c r="C346" s="265" t="s">
        <v>1054</v>
      </c>
      <c r="D346" s="265" t="s">
        <v>1054</v>
      </c>
      <c r="E346" s="265">
        <v>9999</v>
      </c>
      <c r="F346" s="265">
        <v>0</v>
      </c>
      <c r="G346" s="4"/>
    </row>
    <row r="347" spans="1:7" x14ac:dyDescent="0.25">
      <c r="A347" s="265" t="s">
        <v>2005</v>
      </c>
      <c r="B347" s="265" t="s">
        <v>1054</v>
      </c>
      <c r="C347" s="265" t="s">
        <v>1054</v>
      </c>
      <c r="D347" s="265" t="s">
        <v>1054</v>
      </c>
      <c r="E347" s="265">
        <v>9999</v>
      </c>
      <c r="F347" s="265">
        <v>0</v>
      </c>
      <c r="G347" s="4"/>
    </row>
    <row r="348" spans="1:7" x14ac:dyDescent="0.25">
      <c r="A348" s="265" t="s">
        <v>2005</v>
      </c>
      <c r="B348" s="265" t="s">
        <v>1054</v>
      </c>
      <c r="C348" s="265" t="s">
        <v>1054</v>
      </c>
      <c r="D348" s="265" t="s">
        <v>1054</v>
      </c>
      <c r="E348" s="265">
        <v>9999</v>
      </c>
      <c r="F348" s="265">
        <v>0</v>
      </c>
      <c r="G348" s="4"/>
    </row>
    <row r="349" spans="1:7" x14ac:dyDescent="0.25">
      <c r="A349" s="265" t="s">
        <v>2005</v>
      </c>
      <c r="B349" s="265" t="s">
        <v>1054</v>
      </c>
      <c r="C349" s="265" t="s">
        <v>1054</v>
      </c>
      <c r="D349" s="265" t="s">
        <v>1054</v>
      </c>
      <c r="E349" s="265">
        <v>9999</v>
      </c>
      <c r="F349" s="265">
        <v>0</v>
      </c>
      <c r="G349" s="4"/>
    </row>
    <row r="350" spans="1:7" x14ac:dyDescent="0.25">
      <c r="A350" s="265" t="s">
        <v>2005</v>
      </c>
      <c r="B350" s="265" t="s">
        <v>1054</v>
      </c>
      <c r="C350" s="265" t="s">
        <v>1054</v>
      </c>
      <c r="D350" s="265" t="s">
        <v>1054</v>
      </c>
      <c r="E350" s="265">
        <v>9999</v>
      </c>
      <c r="F350" s="265">
        <v>0</v>
      </c>
      <c r="G350" s="4"/>
    </row>
    <row r="351" spans="1:7" x14ac:dyDescent="0.25">
      <c r="A351" s="265" t="s">
        <v>2005</v>
      </c>
      <c r="B351" s="265" t="s">
        <v>1054</v>
      </c>
      <c r="C351" s="265" t="s">
        <v>1054</v>
      </c>
      <c r="D351" s="265" t="s">
        <v>1054</v>
      </c>
      <c r="E351" s="265">
        <v>9999</v>
      </c>
      <c r="F351" s="265">
        <v>0</v>
      </c>
      <c r="G351" s="4"/>
    </row>
    <row r="352" spans="1:7" x14ac:dyDescent="0.25">
      <c r="A352" s="265" t="s">
        <v>2005</v>
      </c>
      <c r="B352" s="265" t="s">
        <v>1054</v>
      </c>
      <c r="C352" s="265" t="s">
        <v>1054</v>
      </c>
      <c r="D352" s="265" t="s">
        <v>1054</v>
      </c>
      <c r="E352" s="265">
        <v>9999</v>
      </c>
      <c r="F352" s="265">
        <v>0</v>
      </c>
      <c r="G352" s="4"/>
    </row>
    <row r="353" spans="1:7" x14ac:dyDescent="0.25">
      <c r="A353" s="265" t="s">
        <v>2005</v>
      </c>
      <c r="B353" s="265" t="s">
        <v>1054</v>
      </c>
      <c r="C353" s="265" t="s">
        <v>1054</v>
      </c>
      <c r="D353" s="265" t="s">
        <v>1054</v>
      </c>
      <c r="E353" s="265">
        <v>9999</v>
      </c>
      <c r="F353" s="265">
        <v>0</v>
      </c>
      <c r="G353" s="4"/>
    </row>
    <row r="354" spans="1:7" x14ac:dyDescent="0.25">
      <c r="A354" s="265" t="s">
        <v>2005</v>
      </c>
      <c r="B354" s="265" t="s">
        <v>1054</v>
      </c>
      <c r="C354" s="265" t="s">
        <v>1054</v>
      </c>
      <c r="D354" s="265" t="s">
        <v>1054</v>
      </c>
      <c r="E354" s="265">
        <v>9999</v>
      </c>
      <c r="F354" s="265">
        <v>0</v>
      </c>
      <c r="G354" s="4"/>
    </row>
    <row r="355" spans="1:7" x14ac:dyDescent="0.25">
      <c r="A355" s="265" t="s">
        <v>2005</v>
      </c>
      <c r="B355" s="265" t="s">
        <v>1054</v>
      </c>
      <c r="C355" s="265" t="s">
        <v>1054</v>
      </c>
      <c r="D355" s="265" t="s">
        <v>1054</v>
      </c>
      <c r="E355" s="265">
        <v>9999</v>
      </c>
      <c r="F355" s="265">
        <v>0</v>
      </c>
      <c r="G355" s="4"/>
    </row>
    <row r="356" spans="1:7" x14ac:dyDescent="0.25">
      <c r="A356" s="265" t="s">
        <v>2005</v>
      </c>
      <c r="B356" s="265" t="s">
        <v>1054</v>
      </c>
      <c r="C356" s="265" t="s">
        <v>1054</v>
      </c>
      <c r="D356" s="265" t="s">
        <v>1054</v>
      </c>
      <c r="E356" s="265">
        <v>9999</v>
      </c>
      <c r="F356" s="265">
        <v>0</v>
      </c>
      <c r="G356" s="4"/>
    </row>
    <row r="357" spans="1:7" x14ac:dyDescent="0.25">
      <c r="A357" s="265" t="s">
        <v>2005</v>
      </c>
      <c r="B357" s="265" t="s">
        <v>1054</v>
      </c>
      <c r="C357" s="265" t="s">
        <v>1054</v>
      </c>
      <c r="D357" s="265" t="s">
        <v>1054</v>
      </c>
      <c r="E357" s="265">
        <v>9999</v>
      </c>
      <c r="F357" s="265">
        <v>0</v>
      </c>
      <c r="G357" s="4"/>
    </row>
    <row r="358" spans="1:7" x14ac:dyDescent="0.25">
      <c r="A358" s="265" t="s">
        <v>2005</v>
      </c>
      <c r="B358" s="265" t="s">
        <v>1054</v>
      </c>
      <c r="C358" s="265" t="s">
        <v>1054</v>
      </c>
      <c r="D358" s="265" t="s">
        <v>1054</v>
      </c>
      <c r="E358" s="265">
        <v>9999</v>
      </c>
      <c r="F358" s="265">
        <v>0</v>
      </c>
      <c r="G358" s="4"/>
    </row>
    <row r="359" spans="1:7" x14ac:dyDescent="0.25">
      <c r="A359" s="265" t="s">
        <v>2005</v>
      </c>
      <c r="B359" s="265" t="s">
        <v>1054</v>
      </c>
      <c r="C359" s="265" t="s">
        <v>1054</v>
      </c>
      <c r="D359" s="265" t="s">
        <v>1054</v>
      </c>
      <c r="E359" s="265">
        <v>9999</v>
      </c>
      <c r="F359" s="265">
        <v>0</v>
      </c>
      <c r="G359" s="4"/>
    </row>
    <row r="360" spans="1:7" x14ac:dyDescent="0.25">
      <c r="A360" s="265" t="s">
        <v>2005</v>
      </c>
      <c r="B360" s="265" t="s">
        <v>1054</v>
      </c>
      <c r="C360" s="265" t="s">
        <v>1054</v>
      </c>
      <c r="D360" s="265" t="s">
        <v>1054</v>
      </c>
      <c r="E360" s="265">
        <v>9999</v>
      </c>
      <c r="F360" s="265">
        <v>0</v>
      </c>
      <c r="G360" s="4"/>
    </row>
    <row r="361" spans="1:7" x14ac:dyDescent="0.25">
      <c r="A361" s="265" t="s">
        <v>2005</v>
      </c>
      <c r="B361" s="265" t="s">
        <v>1054</v>
      </c>
      <c r="C361" s="265" t="s">
        <v>1054</v>
      </c>
      <c r="D361" s="265" t="s">
        <v>1054</v>
      </c>
      <c r="E361" s="265">
        <v>9999</v>
      </c>
      <c r="F361" s="265">
        <v>0</v>
      </c>
      <c r="G361" s="4"/>
    </row>
    <row r="362" spans="1:7" x14ac:dyDescent="0.25">
      <c r="A362" s="265" t="s">
        <v>2005</v>
      </c>
      <c r="B362" s="265" t="s">
        <v>1054</v>
      </c>
      <c r="C362" s="265" t="s">
        <v>1054</v>
      </c>
      <c r="D362" s="265" t="s">
        <v>1054</v>
      </c>
      <c r="E362" s="265">
        <v>9999</v>
      </c>
      <c r="F362" s="265">
        <v>0</v>
      </c>
      <c r="G362" s="4"/>
    </row>
    <row r="363" spans="1:7" x14ac:dyDescent="0.25">
      <c r="A363" s="265" t="s">
        <v>2005</v>
      </c>
      <c r="B363" s="265" t="s">
        <v>1054</v>
      </c>
      <c r="C363" s="265" t="s">
        <v>1054</v>
      </c>
      <c r="D363" s="265" t="s">
        <v>1054</v>
      </c>
      <c r="E363" s="265">
        <v>9999</v>
      </c>
      <c r="F363" s="265">
        <v>0</v>
      </c>
      <c r="G363" s="4"/>
    </row>
    <row r="364" spans="1:7" x14ac:dyDescent="0.25">
      <c r="A364" s="265" t="s">
        <v>2005</v>
      </c>
      <c r="B364" s="265" t="s">
        <v>1054</v>
      </c>
      <c r="C364" s="265" t="s">
        <v>1054</v>
      </c>
      <c r="D364" s="265" t="s">
        <v>1054</v>
      </c>
      <c r="E364" s="265">
        <v>9999</v>
      </c>
      <c r="F364" s="265">
        <v>0</v>
      </c>
      <c r="G364" s="4"/>
    </row>
    <row r="365" spans="1:7" x14ac:dyDescent="0.25">
      <c r="A365" s="265" t="s">
        <v>2005</v>
      </c>
      <c r="B365" s="265" t="s">
        <v>1054</v>
      </c>
      <c r="C365" s="265" t="s">
        <v>1054</v>
      </c>
      <c r="D365" s="265" t="s">
        <v>1054</v>
      </c>
      <c r="E365" s="265">
        <v>9999</v>
      </c>
      <c r="F365" s="265">
        <v>0</v>
      </c>
      <c r="G365" s="4"/>
    </row>
    <row r="366" spans="1:7" x14ac:dyDescent="0.25">
      <c r="A366" s="265" t="s">
        <v>2005</v>
      </c>
      <c r="B366" s="265" t="s">
        <v>1054</v>
      </c>
      <c r="C366" s="265" t="s">
        <v>1054</v>
      </c>
      <c r="D366" s="265" t="s">
        <v>1054</v>
      </c>
      <c r="E366" s="265">
        <v>9999</v>
      </c>
      <c r="F366" s="265">
        <v>0</v>
      </c>
      <c r="G366" s="4"/>
    </row>
    <row r="367" spans="1:7" x14ac:dyDescent="0.25">
      <c r="A367" s="265" t="s">
        <v>2005</v>
      </c>
      <c r="B367" s="265" t="s">
        <v>1054</v>
      </c>
      <c r="C367" s="265" t="s">
        <v>1054</v>
      </c>
      <c r="D367" s="265" t="s">
        <v>1054</v>
      </c>
      <c r="E367" s="265">
        <v>9999</v>
      </c>
      <c r="F367" s="265">
        <v>0</v>
      </c>
      <c r="G367" s="4"/>
    </row>
    <row r="368" spans="1:7" x14ac:dyDescent="0.25">
      <c r="A368" s="265" t="s">
        <v>2005</v>
      </c>
      <c r="B368" s="265" t="s">
        <v>1054</v>
      </c>
      <c r="C368" s="265" t="s">
        <v>1054</v>
      </c>
      <c r="D368" s="265" t="s">
        <v>1054</v>
      </c>
      <c r="E368" s="265">
        <v>9999</v>
      </c>
      <c r="F368" s="265">
        <v>0</v>
      </c>
      <c r="G368" s="4"/>
    </row>
    <row r="369" spans="1:7" x14ac:dyDescent="0.25">
      <c r="A369" s="265" t="s">
        <v>2005</v>
      </c>
      <c r="B369" s="265" t="s">
        <v>1054</v>
      </c>
      <c r="C369" s="265" t="s">
        <v>1054</v>
      </c>
      <c r="D369" s="265" t="s">
        <v>1054</v>
      </c>
      <c r="E369" s="265">
        <v>9999</v>
      </c>
      <c r="F369" s="265">
        <v>0</v>
      </c>
      <c r="G369" s="75"/>
    </row>
    <row r="370" spans="1:7" x14ac:dyDescent="0.25">
      <c r="A370" s="265" t="s">
        <v>2005</v>
      </c>
      <c r="B370" s="265" t="s">
        <v>1054</v>
      </c>
      <c r="C370" s="265" t="s">
        <v>1054</v>
      </c>
      <c r="D370" s="265" t="s">
        <v>1054</v>
      </c>
      <c r="E370" s="265">
        <v>9999</v>
      </c>
      <c r="F370" s="265">
        <v>0</v>
      </c>
      <c r="G370" s="75"/>
    </row>
    <row r="371" spans="1:7" x14ac:dyDescent="0.25">
      <c r="A371" s="265" t="s">
        <v>2005</v>
      </c>
      <c r="B371" s="265" t="s">
        <v>1054</v>
      </c>
      <c r="C371" s="265" t="s">
        <v>1054</v>
      </c>
      <c r="D371" s="265" t="s">
        <v>1054</v>
      </c>
      <c r="E371" s="265">
        <v>9999</v>
      </c>
      <c r="F371" s="265">
        <v>0</v>
      </c>
      <c r="G371" s="75"/>
    </row>
    <row r="372" spans="1:7" x14ac:dyDescent="0.25">
      <c r="A372" s="265" t="s">
        <v>2005</v>
      </c>
      <c r="B372" s="265" t="s">
        <v>1054</v>
      </c>
      <c r="C372" s="265" t="s">
        <v>1054</v>
      </c>
      <c r="D372" s="265" t="s">
        <v>1054</v>
      </c>
      <c r="E372" s="265">
        <v>9999</v>
      </c>
      <c r="F372" s="265">
        <v>0</v>
      </c>
      <c r="G372" s="75"/>
    </row>
    <row r="373" spans="1:7" x14ac:dyDescent="0.25">
      <c r="A373" s="265" t="s">
        <v>2005</v>
      </c>
      <c r="B373" s="265" t="s">
        <v>1054</v>
      </c>
      <c r="C373" s="265" t="s">
        <v>1054</v>
      </c>
      <c r="D373" s="265" t="s">
        <v>1054</v>
      </c>
      <c r="E373" s="265">
        <v>9999</v>
      </c>
      <c r="F373" s="265">
        <v>0</v>
      </c>
      <c r="G373" s="75"/>
    </row>
    <row r="374" spans="1:7" x14ac:dyDescent="0.25">
      <c r="A374" s="265" t="s">
        <v>2005</v>
      </c>
      <c r="B374" s="265" t="s">
        <v>1054</v>
      </c>
      <c r="C374" s="265" t="s">
        <v>1054</v>
      </c>
      <c r="D374" s="265" t="s">
        <v>1054</v>
      </c>
      <c r="E374" s="265">
        <v>9999</v>
      </c>
      <c r="F374" s="265">
        <v>0</v>
      </c>
      <c r="G374" s="75"/>
    </row>
    <row r="375" spans="1:7" x14ac:dyDescent="0.25">
      <c r="A375" s="265" t="s">
        <v>2005</v>
      </c>
      <c r="B375" s="265" t="s">
        <v>1054</v>
      </c>
      <c r="C375" s="265" t="s">
        <v>1054</v>
      </c>
      <c r="D375" s="265" t="s">
        <v>1054</v>
      </c>
      <c r="E375" s="265">
        <v>9999</v>
      </c>
      <c r="F375" s="265">
        <v>0</v>
      </c>
      <c r="G375" s="75"/>
    </row>
    <row r="376" spans="1:7" x14ac:dyDescent="0.25">
      <c r="A376" s="265" t="s">
        <v>2005</v>
      </c>
      <c r="B376" s="265" t="s">
        <v>1054</v>
      </c>
      <c r="C376" s="265" t="s">
        <v>1054</v>
      </c>
      <c r="D376" s="265" t="s">
        <v>1054</v>
      </c>
      <c r="E376" s="265">
        <v>9999</v>
      </c>
      <c r="F376" s="265">
        <v>0</v>
      </c>
      <c r="G376" s="75"/>
    </row>
    <row r="377" spans="1:7" x14ac:dyDescent="0.25">
      <c r="A377" s="265" t="s">
        <v>2005</v>
      </c>
      <c r="B377" s="265" t="s">
        <v>1054</v>
      </c>
      <c r="C377" s="265" t="s">
        <v>1054</v>
      </c>
      <c r="D377" s="265" t="s">
        <v>1054</v>
      </c>
      <c r="E377" s="265">
        <v>9999</v>
      </c>
      <c r="F377" s="265">
        <v>0</v>
      </c>
      <c r="G377" s="75"/>
    </row>
    <row r="378" spans="1:7" x14ac:dyDescent="0.25">
      <c r="A378" s="265" t="s">
        <v>2005</v>
      </c>
      <c r="B378" s="265" t="s">
        <v>1054</v>
      </c>
      <c r="C378" s="265" t="s">
        <v>1054</v>
      </c>
      <c r="D378" s="265" t="s">
        <v>1054</v>
      </c>
      <c r="E378" s="265">
        <v>9999</v>
      </c>
      <c r="F378" s="265">
        <v>0</v>
      </c>
      <c r="G378" s="75"/>
    </row>
    <row r="379" spans="1:7" x14ac:dyDescent="0.25">
      <c r="A379" s="265" t="s">
        <v>2005</v>
      </c>
      <c r="B379" s="265" t="s">
        <v>1054</v>
      </c>
      <c r="C379" s="265" t="s">
        <v>1054</v>
      </c>
      <c r="D379" s="265" t="s">
        <v>1054</v>
      </c>
      <c r="E379" s="265">
        <v>9999</v>
      </c>
      <c r="F379" s="265">
        <v>0</v>
      </c>
      <c r="G379" s="75"/>
    </row>
    <row r="380" spans="1:7" x14ac:dyDescent="0.25">
      <c r="A380" s="265" t="s">
        <v>2005</v>
      </c>
      <c r="B380" s="265" t="s">
        <v>1054</v>
      </c>
      <c r="C380" s="265" t="s">
        <v>1054</v>
      </c>
      <c r="D380" s="265" t="s">
        <v>1054</v>
      </c>
      <c r="E380" s="265">
        <v>9999</v>
      </c>
      <c r="F380" s="265">
        <v>0</v>
      </c>
      <c r="G380" s="75"/>
    </row>
    <row r="381" spans="1:7" x14ac:dyDescent="0.25">
      <c r="A381" s="265" t="s">
        <v>2005</v>
      </c>
      <c r="B381" s="265" t="s">
        <v>1054</v>
      </c>
      <c r="C381" s="265" t="s">
        <v>1054</v>
      </c>
      <c r="D381" s="265" t="s">
        <v>1054</v>
      </c>
      <c r="E381" s="265">
        <v>9999</v>
      </c>
      <c r="F381" s="265">
        <v>0</v>
      </c>
      <c r="G381" s="75"/>
    </row>
    <row r="382" spans="1:7" x14ac:dyDescent="0.25">
      <c r="A382" s="265" t="s">
        <v>2005</v>
      </c>
      <c r="B382" s="265" t="s">
        <v>1054</v>
      </c>
      <c r="C382" s="265" t="s">
        <v>1054</v>
      </c>
      <c r="D382" s="265" t="s">
        <v>1054</v>
      </c>
      <c r="E382" s="265">
        <v>9999</v>
      </c>
      <c r="F382" s="265">
        <v>0</v>
      </c>
      <c r="G382" s="75"/>
    </row>
    <row r="383" spans="1:7" x14ac:dyDescent="0.25">
      <c r="A383" s="265" t="s">
        <v>2005</v>
      </c>
      <c r="B383" s="265" t="s">
        <v>1054</v>
      </c>
      <c r="C383" s="265" t="s">
        <v>1054</v>
      </c>
      <c r="D383" s="265" t="s">
        <v>1054</v>
      </c>
      <c r="E383" s="265">
        <v>9999</v>
      </c>
      <c r="F383" s="265">
        <v>0</v>
      </c>
      <c r="G383" s="75"/>
    </row>
    <row r="384" spans="1:7" x14ac:dyDescent="0.25">
      <c r="A384" s="265" t="s">
        <v>2005</v>
      </c>
      <c r="B384" s="265" t="s">
        <v>1054</v>
      </c>
      <c r="C384" s="265" t="s">
        <v>1054</v>
      </c>
      <c r="D384" s="265" t="s">
        <v>1054</v>
      </c>
      <c r="E384" s="265">
        <v>9999</v>
      </c>
      <c r="F384" s="265">
        <v>0</v>
      </c>
      <c r="G384" s="75"/>
    </row>
    <row r="385" spans="1:7" x14ac:dyDescent="0.25">
      <c r="A385" s="265" t="s">
        <v>2005</v>
      </c>
      <c r="B385" s="265" t="s">
        <v>1054</v>
      </c>
      <c r="C385" s="265" t="s">
        <v>1054</v>
      </c>
      <c r="D385" s="265" t="s">
        <v>1054</v>
      </c>
      <c r="E385" s="265">
        <v>9999</v>
      </c>
      <c r="F385" s="265">
        <v>0</v>
      </c>
      <c r="G385" s="75"/>
    </row>
    <row r="386" spans="1:7" x14ac:dyDescent="0.25">
      <c r="A386" s="265" t="s">
        <v>2005</v>
      </c>
      <c r="B386" s="265" t="s">
        <v>1054</v>
      </c>
      <c r="C386" s="265" t="s">
        <v>1054</v>
      </c>
      <c r="D386" s="265" t="s">
        <v>1054</v>
      </c>
      <c r="E386" s="265">
        <v>9999</v>
      </c>
      <c r="F386" s="265">
        <v>0</v>
      </c>
      <c r="G386" s="75"/>
    </row>
    <row r="387" spans="1:7" x14ac:dyDescent="0.25">
      <c r="A387" s="265" t="s">
        <v>2005</v>
      </c>
      <c r="B387" s="265" t="s">
        <v>1054</v>
      </c>
      <c r="C387" s="265" t="s">
        <v>1054</v>
      </c>
      <c r="D387" s="265" t="s">
        <v>1054</v>
      </c>
      <c r="E387" s="265">
        <v>9999</v>
      </c>
      <c r="F387" s="265">
        <v>0</v>
      </c>
      <c r="G387" s="75"/>
    </row>
    <row r="388" spans="1:7" x14ac:dyDescent="0.25">
      <c r="A388" s="265" t="s">
        <v>2005</v>
      </c>
      <c r="B388" s="265" t="s">
        <v>1054</v>
      </c>
      <c r="C388" s="265" t="s">
        <v>1054</v>
      </c>
      <c r="D388" s="265" t="s">
        <v>1054</v>
      </c>
      <c r="E388" s="265">
        <v>9999</v>
      </c>
      <c r="F388" s="265">
        <v>0</v>
      </c>
      <c r="G388" s="75"/>
    </row>
    <row r="389" spans="1:7" x14ac:dyDescent="0.25">
      <c r="A389" s="265" t="s">
        <v>2005</v>
      </c>
      <c r="B389" s="265" t="s">
        <v>1054</v>
      </c>
      <c r="C389" s="265" t="s">
        <v>1054</v>
      </c>
      <c r="D389" s="265" t="s">
        <v>1054</v>
      </c>
      <c r="E389" s="265">
        <v>9999</v>
      </c>
      <c r="F389" s="265">
        <v>0</v>
      </c>
      <c r="G389" s="75"/>
    </row>
    <row r="390" spans="1:7" x14ac:dyDescent="0.25">
      <c r="A390" s="265" t="s">
        <v>2005</v>
      </c>
      <c r="B390" s="265" t="s">
        <v>1054</v>
      </c>
      <c r="C390" s="265" t="s">
        <v>1054</v>
      </c>
      <c r="D390" s="265" t="s">
        <v>1054</v>
      </c>
      <c r="E390" s="265">
        <v>9999</v>
      </c>
      <c r="F390" s="265">
        <v>0</v>
      </c>
      <c r="G390" s="75"/>
    </row>
    <row r="391" spans="1:7" x14ac:dyDescent="0.25">
      <c r="A391" s="265" t="s">
        <v>2005</v>
      </c>
      <c r="B391" s="265" t="s">
        <v>1054</v>
      </c>
      <c r="C391" s="265" t="s">
        <v>1054</v>
      </c>
      <c r="D391" s="265" t="s">
        <v>1054</v>
      </c>
      <c r="E391" s="265">
        <v>9999</v>
      </c>
      <c r="F391" s="265">
        <v>0</v>
      </c>
      <c r="G391" s="75"/>
    </row>
    <row r="392" spans="1:7" x14ac:dyDescent="0.25">
      <c r="A392" s="265" t="s">
        <v>2005</v>
      </c>
      <c r="B392" s="265" t="s">
        <v>1054</v>
      </c>
      <c r="C392" s="265" t="s">
        <v>1054</v>
      </c>
      <c r="D392" s="265" t="s">
        <v>1054</v>
      </c>
      <c r="E392" s="265">
        <v>9999</v>
      </c>
      <c r="F392" s="265">
        <v>0</v>
      </c>
      <c r="G392" s="75"/>
    </row>
    <row r="393" spans="1:7" x14ac:dyDescent="0.25">
      <c r="A393" s="265" t="s">
        <v>2005</v>
      </c>
      <c r="B393" s="265" t="s">
        <v>1054</v>
      </c>
      <c r="C393" s="265" t="s">
        <v>1054</v>
      </c>
      <c r="D393" s="265" t="s">
        <v>1054</v>
      </c>
      <c r="E393" s="265">
        <v>9999</v>
      </c>
      <c r="F393" s="265">
        <v>0</v>
      </c>
      <c r="G393" s="75"/>
    </row>
    <row r="394" spans="1:7" x14ac:dyDescent="0.25">
      <c r="A394" s="265" t="s">
        <v>2005</v>
      </c>
      <c r="B394" s="265" t="s">
        <v>1054</v>
      </c>
      <c r="C394" s="265" t="s">
        <v>1054</v>
      </c>
      <c r="D394" s="265" t="s">
        <v>1054</v>
      </c>
      <c r="E394" s="265">
        <v>9999</v>
      </c>
      <c r="F394" s="265">
        <v>0</v>
      </c>
      <c r="G394" s="75"/>
    </row>
    <row r="395" spans="1:7" x14ac:dyDescent="0.25">
      <c r="A395" s="265" t="s">
        <v>2005</v>
      </c>
      <c r="B395" s="265" t="s">
        <v>1054</v>
      </c>
      <c r="C395" s="265" t="s">
        <v>1054</v>
      </c>
      <c r="D395" s="265" t="s">
        <v>1054</v>
      </c>
      <c r="E395" s="265">
        <v>9999</v>
      </c>
      <c r="F395" s="265">
        <v>0</v>
      </c>
      <c r="G395" s="75"/>
    </row>
    <row r="396" spans="1:7" x14ac:dyDescent="0.25">
      <c r="A396" s="265" t="s">
        <v>2005</v>
      </c>
      <c r="B396" s="265" t="s">
        <v>1054</v>
      </c>
      <c r="C396" s="265" t="s">
        <v>1054</v>
      </c>
      <c r="D396" s="265" t="s">
        <v>1054</v>
      </c>
      <c r="E396" s="265">
        <v>9999</v>
      </c>
      <c r="F396" s="265">
        <v>0</v>
      </c>
      <c r="G396" s="75"/>
    </row>
    <row r="397" spans="1:7" x14ac:dyDescent="0.25">
      <c r="A397" s="265" t="s">
        <v>2005</v>
      </c>
      <c r="B397" s="265" t="s">
        <v>1054</v>
      </c>
      <c r="C397" s="265" t="s">
        <v>1054</v>
      </c>
      <c r="D397" s="265" t="s">
        <v>1054</v>
      </c>
      <c r="E397" s="265">
        <v>9999</v>
      </c>
      <c r="F397" s="265">
        <v>0</v>
      </c>
      <c r="G397" s="75"/>
    </row>
    <row r="398" spans="1:7" x14ac:dyDescent="0.25">
      <c r="A398" s="265" t="s">
        <v>2005</v>
      </c>
      <c r="B398" s="265" t="s">
        <v>1054</v>
      </c>
      <c r="C398" s="265" t="s">
        <v>1054</v>
      </c>
      <c r="D398" s="265" t="s">
        <v>1054</v>
      </c>
      <c r="E398" s="265">
        <v>9999</v>
      </c>
      <c r="F398" s="265">
        <v>0</v>
      </c>
      <c r="G398" s="75"/>
    </row>
    <row r="399" spans="1:7" x14ac:dyDescent="0.25">
      <c r="A399" s="265" t="s">
        <v>2005</v>
      </c>
      <c r="B399" s="265" t="s">
        <v>1054</v>
      </c>
      <c r="C399" s="265" t="s">
        <v>1054</v>
      </c>
      <c r="D399" s="265" t="s">
        <v>1054</v>
      </c>
      <c r="E399" s="265">
        <v>9999</v>
      </c>
      <c r="F399" s="265">
        <v>0</v>
      </c>
      <c r="G399" s="75"/>
    </row>
    <row r="400" spans="1:7" x14ac:dyDescent="0.25">
      <c r="A400" s="265" t="s">
        <v>2005</v>
      </c>
      <c r="B400" s="265" t="s">
        <v>1054</v>
      </c>
      <c r="C400" s="265" t="s">
        <v>1054</v>
      </c>
      <c r="D400" s="265" t="s">
        <v>1054</v>
      </c>
      <c r="E400" s="265">
        <v>9999</v>
      </c>
      <c r="F400" s="265">
        <v>0</v>
      </c>
      <c r="G400" s="75"/>
    </row>
    <row r="401" spans="1:7" x14ac:dyDescent="0.25">
      <c r="A401" s="265" t="s">
        <v>2005</v>
      </c>
      <c r="B401" s="265" t="s">
        <v>1054</v>
      </c>
      <c r="C401" s="265" t="s">
        <v>1054</v>
      </c>
      <c r="D401" s="265" t="s">
        <v>1054</v>
      </c>
      <c r="E401" s="265">
        <v>9999</v>
      </c>
      <c r="F401" s="265">
        <v>0</v>
      </c>
      <c r="G401" s="75"/>
    </row>
    <row r="402" spans="1:7" x14ac:dyDescent="0.25">
      <c r="A402" s="265" t="s">
        <v>2005</v>
      </c>
      <c r="B402" s="265" t="s">
        <v>1054</v>
      </c>
      <c r="C402" s="265" t="s">
        <v>1054</v>
      </c>
      <c r="D402" s="265" t="s">
        <v>1054</v>
      </c>
      <c r="E402" s="265">
        <v>9999</v>
      </c>
      <c r="F402" s="265">
        <v>0</v>
      </c>
      <c r="G402" s="75"/>
    </row>
    <row r="403" spans="1:7" x14ac:dyDescent="0.25">
      <c r="A403" s="265" t="s">
        <v>2005</v>
      </c>
      <c r="B403" s="265" t="s">
        <v>1054</v>
      </c>
      <c r="C403" s="265" t="s">
        <v>1054</v>
      </c>
      <c r="D403" s="265" t="s">
        <v>1054</v>
      </c>
      <c r="E403" s="265">
        <v>9999</v>
      </c>
      <c r="F403" s="265">
        <v>0</v>
      </c>
      <c r="G403" s="75"/>
    </row>
    <row r="404" spans="1:7" x14ac:dyDescent="0.25">
      <c r="A404" s="265" t="s">
        <v>2005</v>
      </c>
      <c r="B404" s="265" t="s">
        <v>1054</v>
      </c>
      <c r="C404" s="265" t="s">
        <v>1054</v>
      </c>
      <c r="D404" s="265" t="s">
        <v>1054</v>
      </c>
      <c r="E404" s="265">
        <v>9999</v>
      </c>
      <c r="F404" s="265">
        <v>0</v>
      </c>
      <c r="G404" s="75"/>
    </row>
    <row r="405" spans="1:7" x14ac:dyDescent="0.25">
      <c r="A405" s="265" t="s">
        <v>2005</v>
      </c>
      <c r="B405" s="265" t="s">
        <v>1054</v>
      </c>
      <c r="C405" s="265" t="s">
        <v>1054</v>
      </c>
      <c r="D405" s="265" t="s">
        <v>1054</v>
      </c>
      <c r="E405" s="265">
        <v>9999</v>
      </c>
      <c r="F405" s="265">
        <v>0</v>
      </c>
      <c r="G405" s="75"/>
    </row>
    <row r="406" spans="1:7" x14ac:dyDescent="0.25">
      <c r="A406" s="265" t="s">
        <v>2005</v>
      </c>
      <c r="B406" s="265" t="s">
        <v>1054</v>
      </c>
      <c r="C406" s="265" t="s">
        <v>1054</v>
      </c>
      <c r="D406" s="265" t="s">
        <v>1054</v>
      </c>
      <c r="E406" s="265">
        <v>9999</v>
      </c>
      <c r="F406" s="265">
        <v>0</v>
      </c>
      <c r="G406" s="75"/>
    </row>
    <row r="407" spans="1:7" x14ac:dyDescent="0.25">
      <c r="A407" s="265" t="s">
        <v>2005</v>
      </c>
      <c r="B407" s="265" t="s">
        <v>1054</v>
      </c>
      <c r="C407" s="265" t="s">
        <v>1054</v>
      </c>
      <c r="D407" s="265" t="s">
        <v>1054</v>
      </c>
      <c r="E407" s="265">
        <v>9999</v>
      </c>
      <c r="F407" s="265">
        <v>0</v>
      </c>
      <c r="G407" s="75"/>
    </row>
    <row r="408" spans="1:7" x14ac:dyDescent="0.25">
      <c r="A408" s="265" t="s">
        <v>2005</v>
      </c>
      <c r="B408" s="265" t="s">
        <v>1054</v>
      </c>
      <c r="C408" s="265" t="s">
        <v>1054</v>
      </c>
      <c r="D408" s="265" t="s">
        <v>1054</v>
      </c>
      <c r="E408" s="265">
        <v>9999</v>
      </c>
      <c r="F408" s="265">
        <v>0</v>
      </c>
      <c r="G408" s="75"/>
    </row>
    <row r="409" spans="1:7" x14ac:dyDescent="0.25">
      <c r="A409" s="265" t="s">
        <v>2005</v>
      </c>
      <c r="B409" s="265" t="s">
        <v>1054</v>
      </c>
      <c r="C409" s="265" t="s">
        <v>1054</v>
      </c>
      <c r="D409" s="265" t="s">
        <v>1054</v>
      </c>
      <c r="E409" s="265">
        <v>9999</v>
      </c>
      <c r="F409" s="265">
        <v>0</v>
      </c>
      <c r="G409" s="75"/>
    </row>
    <row r="410" spans="1:7" x14ac:dyDescent="0.25">
      <c r="A410" s="265" t="s">
        <v>2005</v>
      </c>
      <c r="B410" s="265" t="s">
        <v>1054</v>
      </c>
      <c r="C410" s="265" t="s">
        <v>1054</v>
      </c>
      <c r="D410" s="265" t="s">
        <v>1054</v>
      </c>
      <c r="E410" s="265">
        <v>9999</v>
      </c>
      <c r="F410" s="265">
        <v>0</v>
      </c>
      <c r="G410" s="75"/>
    </row>
    <row r="411" spans="1:7" x14ac:dyDescent="0.25">
      <c r="A411" s="265" t="s">
        <v>2005</v>
      </c>
      <c r="B411" s="265" t="s">
        <v>1054</v>
      </c>
      <c r="C411" s="265" t="s">
        <v>1054</v>
      </c>
      <c r="D411" s="265" t="s">
        <v>1054</v>
      </c>
      <c r="E411" s="265">
        <v>9999</v>
      </c>
      <c r="F411" s="265">
        <v>0</v>
      </c>
      <c r="G411" s="75"/>
    </row>
    <row r="412" spans="1:7" x14ac:dyDescent="0.25">
      <c r="A412" s="265" t="s">
        <v>2005</v>
      </c>
      <c r="B412" s="265" t="s">
        <v>1054</v>
      </c>
      <c r="C412" s="265" t="s">
        <v>1054</v>
      </c>
      <c r="D412" s="265" t="s">
        <v>1054</v>
      </c>
      <c r="E412" s="265">
        <v>9999</v>
      </c>
      <c r="F412" s="265">
        <v>0</v>
      </c>
      <c r="G412" s="75"/>
    </row>
    <row r="413" spans="1:7" x14ac:dyDescent="0.25">
      <c r="A413" s="265" t="s">
        <v>2005</v>
      </c>
      <c r="B413" s="265" t="s">
        <v>1054</v>
      </c>
      <c r="C413" s="265" t="s">
        <v>1054</v>
      </c>
      <c r="D413" s="265" t="s">
        <v>1054</v>
      </c>
      <c r="E413" s="265">
        <v>9999</v>
      </c>
      <c r="F413" s="265">
        <v>0</v>
      </c>
      <c r="G413" s="75"/>
    </row>
    <row r="414" spans="1:7" x14ac:dyDescent="0.25">
      <c r="A414" s="265" t="s">
        <v>2005</v>
      </c>
      <c r="B414" s="265" t="s">
        <v>1054</v>
      </c>
      <c r="C414" s="265" t="s">
        <v>1054</v>
      </c>
      <c r="D414" s="265" t="s">
        <v>1054</v>
      </c>
      <c r="E414" s="265">
        <v>9999</v>
      </c>
      <c r="F414" s="265">
        <v>0</v>
      </c>
      <c r="G414" s="75"/>
    </row>
    <row r="415" spans="1:7" x14ac:dyDescent="0.25">
      <c r="A415" s="265" t="s">
        <v>2005</v>
      </c>
      <c r="B415" s="265" t="s">
        <v>1054</v>
      </c>
      <c r="C415" s="265" t="s">
        <v>1054</v>
      </c>
      <c r="D415" s="265" t="s">
        <v>1054</v>
      </c>
      <c r="E415" s="265">
        <v>9999</v>
      </c>
      <c r="F415" s="265">
        <v>0</v>
      </c>
      <c r="G415" s="75"/>
    </row>
    <row r="416" spans="1:7" x14ac:dyDescent="0.25">
      <c r="A416" s="265" t="s">
        <v>2005</v>
      </c>
      <c r="B416" s="265" t="s">
        <v>1054</v>
      </c>
      <c r="C416" s="265" t="s">
        <v>1054</v>
      </c>
      <c r="D416" s="265" t="s">
        <v>1054</v>
      </c>
      <c r="E416" s="265">
        <v>9999</v>
      </c>
      <c r="F416" s="265">
        <v>0</v>
      </c>
      <c r="G416" s="75"/>
    </row>
    <row r="417" spans="1:7" x14ac:dyDescent="0.25">
      <c r="A417" s="265" t="s">
        <v>2005</v>
      </c>
      <c r="B417" s="265" t="s">
        <v>1054</v>
      </c>
      <c r="C417" s="265" t="s">
        <v>1054</v>
      </c>
      <c r="D417" s="265" t="s">
        <v>1054</v>
      </c>
      <c r="E417" s="265">
        <v>9999</v>
      </c>
      <c r="F417" s="265">
        <v>0</v>
      </c>
      <c r="G417" s="75"/>
    </row>
    <row r="418" spans="1:7" x14ac:dyDescent="0.25">
      <c r="A418" s="265" t="s">
        <v>2005</v>
      </c>
      <c r="B418" s="265" t="s">
        <v>1054</v>
      </c>
      <c r="C418" s="265" t="s">
        <v>1054</v>
      </c>
      <c r="D418" s="265" t="s">
        <v>1054</v>
      </c>
      <c r="E418" s="265">
        <v>9999</v>
      </c>
      <c r="F418" s="265">
        <v>0</v>
      </c>
      <c r="G418" s="75"/>
    </row>
    <row r="419" spans="1:7" x14ac:dyDescent="0.25">
      <c r="A419" s="265" t="s">
        <v>2005</v>
      </c>
      <c r="B419" s="265" t="s">
        <v>1054</v>
      </c>
      <c r="C419" s="265" t="s">
        <v>1054</v>
      </c>
      <c r="D419" s="265" t="s">
        <v>1054</v>
      </c>
      <c r="E419" s="265">
        <v>9999</v>
      </c>
      <c r="F419" s="265">
        <v>0</v>
      </c>
      <c r="G419" s="75"/>
    </row>
    <row r="420" spans="1:7" x14ac:dyDescent="0.25">
      <c r="A420" s="265" t="s">
        <v>2005</v>
      </c>
      <c r="B420" s="265" t="s">
        <v>1054</v>
      </c>
      <c r="C420" s="265" t="s">
        <v>1054</v>
      </c>
      <c r="D420" s="265" t="s">
        <v>1054</v>
      </c>
      <c r="E420" s="265">
        <v>9999</v>
      </c>
      <c r="F420" s="265">
        <v>0</v>
      </c>
      <c r="G420" s="75"/>
    </row>
    <row r="421" spans="1:7" x14ac:dyDescent="0.25">
      <c r="A421" s="265" t="s">
        <v>2005</v>
      </c>
      <c r="B421" s="265" t="s">
        <v>1054</v>
      </c>
      <c r="C421" s="265" t="s">
        <v>1054</v>
      </c>
      <c r="D421" s="265" t="s">
        <v>1054</v>
      </c>
      <c r="E421" s="265">
        <v>9999</v>
      </c>
      <c r="F421" s="265">
        <v>0</v>
      </c>
      <c r="G421" s="75"/>
    </row>
    <row r="422" spans="1:7" x14ac:dyDescent="0.25">
      <c r="A422" s="265" t="s">
        <v>2005</v>
      </c>
      <c r="B422" s="265" t="s">
        <v>1054</v>
      </c>
      <c r="C422" s="265" t="s">
        <v>1054</v>
      </c>
      <c r="D422" s="265" t="s">
        <v>1054</v>
      </c>
      <c r="E422" s="265">
        <v>9999</v>
      </c>
      <c r="F422" s="265">
        <v>0</v>
      </c>
      <c r="G422" s="75"/>
    </row>
    <row r="423" spans="1:7" x14ac:dyDescent="0.25">
      <c r="A423" s="265" t="s">
        <v>2005</v>
      </c>
      <c r="B423" s="265" t="s">
        <v>1054</v>
      </c>
      <c r="C423" s="265" t="s">
        <v>1054</v>
      </c>
      <c r="D423" s="265" t="s">
        <v>1054</v>
      </c>
      <c r="E423" s="265">
        <v>9999</v>
      </c>
      <c r="F423" s="265">
        <v>0</v>
      </c>
      <c r="G423" s="75"/>
    </row>
    <row r="424" spans="1:7" x14ac:dyDescent="0.25">
      <c r="A424" s="265" t="s">
        <v>2005</v>
      </c>
      <c r="B424" s="265" t="s">
        <v>1054</v>
      </c>
      <c r="C424" s="265" t="s">
        <v>1054</v>
      </c>
      <c r="D424" s="265" t="s">
        <v>1054</v>
      </c>
      <c r="E424" s="265">
        <v>9999</v>
      </c>
      <c r="F424" s="265">
        <v>0</v>
      </c>
      <c r="G424" s="75"/>
    </row>
    <row r="425" spans="1:7" x14ac:dyDescent="0.25">
      <c r="A425" s="265" t="s">
        <v>2005</v>
      </c>
      <c r="B425" s="265" t="s">
        <v>1054</v>
      </c>
      <c r="C425" s="265" t="s">
        <v>1054</v>
      </c>
      <c r="D425" s="265" t="s">
        <v>1054</v>
      </c>
      <c r="E425" s="265">
        <v>9999</v>
      </c>
      <c r="F425" s="265">
        <v>0</v>
      </c>
      <c r="G425" s="75"/>
    </row>
    <row r="426" spans="1:7" x14ac:dyDescent="0.25">
      <c r="A426" s="265" t="s">
        <v>2005</v>
      </c>
      <c r="B426" s="265" t="s">
        <v>1054</v>
      </c>
      <c r="C426" s="265" t="s">
        <v>1054</v>
      </c>
      <c r="D426" s="265" t="s">
        <v>1054</v>
      </c>
      <c r="E426" s="265">
        <v>9999</v>
      </c>
      <c r="F426" s="265">
        <v>0</v>
      </c>
      <c r="G426" s="75"/>
    </row>
    <row r="427" spans="1:7" x14ac:dyDescent="0.25">
      <c r="A427" s="265" t="s">
        <v>2005</v>
      </c>
      <c r="B427" s="265" t="s">
        <v>1054</v>
      </c>
      <c r="C427" s="265" t="s">
        <v>1054</v>
      </c>
      <c r="D427" s="265" t="s">
        <v>1054</v>
      </c>
      <c r="E427" s="265">
        <v>9999</v>
      </c>
      <c r="F427" s="265">
        <v>0</v>
      </c>
      <c r="G427" s="75"/>
    </row>
    <row r="428" spans="1:7" x14ac:dyDescent="0.25">
      <c r="A428" s="265" t="s">
        <v>2005</v>
      </c>
      <c r="B428" s="265" t="s">
        <v>1054</v>
      </c>
      <c r="C428" s="265" t="s">
        <v>1054</v>
      </c>
      <c r="D428" s="265" t="s">
        <v>1054</v>
      </c>
      <c r="E428" s="265">
        <v>9999</v>
      </c>
      <c r="F428" s="265">
        <v>0</v>
      </c>
      <c r="G428" s="75"/>
    </row>
    <row r="429" spans="1:7" x14ac:dyDescent="0.25">
      <c r="A429" s="265" t="s">
        <v>2005</v>
      </c>
      <c r="B429" s="265" t="s">
        <v>1054</v>
      </c>
      <c r="C429" s="265" t="s">
        <v>1054</v>
      </c>
      <c r="D429" s="265" t="s">
        <v>1054</v>
      </c>
      <c r="E429" s="265">
        <v>9999</v>
      </c>
      <c r="F429" s="265">
        <v>0</v>
      </c>
      <c r="G429" s="75"/>
    </row>
    <row r="430" spans="1:7" x14ac:dyDescent="0.25">
      <c r="A430" s="265" t="s">
        <v>2005</v>
      </c>
      <c r="B430" s="265" t="s">
        <v>1054</v>
      </c>
      <c r="C430" s="265" t="s">
        <v>1054</v>
      </c>
      <c r="D430" s="265" t="s">
        <v>1054</v>
      </c>
      <c r="E430" s="265">
        <v>9999</v>
      </c>
      <c r="F430" s="265">
        <v>0</v>
      </c>
      <c r="G430" s="75"/>
    </row>
    <row r="431" spans="1:7" x14ac:dyDescent="0.25">
      <c r="A431" s="265" t="s">
        <v>2005</v>
      </c>
      <c r="B431" s="265" t="s">
        <v>1054</v>
      </c>
      <c r="C431" s="265" t="s">
        <v>1054</v>
      </c>
      <c r="D431" s="265" t="s">
        <v>1054</v>
      </c>
      <c r="E431" s="265">
        <v>9999</v>
      </c>
      <c r="F431" s="265">
        <v>0</v>
      </c>
      <c r="G431" s="75"/>
    </row>
    <row r="432" spans="1:7" x14ac:dyDescent="0.25">
      <c r="A432" s="265" t="s">
        <v>2005</v>
      </c>
      <c r="B432" s="265" t="s">
        <v>1054</v>
      </c>
      <c r="C432" s="265" t="s">
        <v>1054</v>
      </c>
      <c r="D432" s="265" t="s">
        <v>1054</v>
      </c>
      <c r="E432" s="265">
        <v>9999</v>
      </c>
      <c r="F432" s="265">
        <v>0</v>
      </c>
      <c r="G432" s="75"/>
    </row>
    <row r="433" spans="1:7" x14ac:dyDescent="0.25">
      <c r="A433" s="265" t="s">
        <v>2005</v>
      </c>
      <c r="B433" s="265" t="s">
        <v>1054</v>
      </c>
      <c r="C433" s="265" t="s">
        <v>1054</v>
      </c>
      <c r="D433" s="265" t="s">
        <v>1054</v>
      </c>
      <c r="E433" s="265">
        <v>9999</v>
      </c>
      <c r="F433" s="265">
        <v>0</v>
      </c>
      <c r="G433" s="75"/>
    </row>
    <row r="434" spans="1:7" x14ac:dyDescent="0.25">
      <c r="A434" s="265" t="s">
        <v>2005</v>
      </c>
      <c r="B434" s="265" t="s">
        <v>1054</v>
      </c>
      <c r="C434" s="265" t="s">
        <v>1054</v>
      </c>
      <c r="D434" s="265" t="s">
        <v>1054</v>
      </c>
      <c r="E434" s="265">
        <v>9999</v>
      </c>
      <c r="F434" s="265">
        <v>0</v>
      </c>
      <c r="G434" s="75"/>
    </row>
    <row r="435" spans="1:7" x14ac:dyDescent="0.25">
      <c r="A435" s="265" t="s">
        <v>2005</v>
      </c>
      <c r="B435" s="265" t="s">
        <v>1054</v>
      </c>
      <c r="C435" s="265" t="s">
        <v>1054</v>
      </c>
      <c r="D435" s="265" t="s">
        <v>1054</v>
      </c>
      <c r="E435" s="265">
        <v>9999</v>
      </c>
      <c r="F435" s="265">
        <v>0</v>
      </c>
      <c r="G435" s="75"/>
    </row>
    <row r="436" spans="1:7" x14ac:dyDescent="0.25">
      <c r="A436" s="265" t="s">
        <v>2005</v>
      </c>
      <c r="B436" s="265" t="s">
        <v>1054</v>
      </c>
      <c r="C436" s="265" t="s">
        <v>1054</v>
      </c>
      <c r="D436" s="265" t="s">
        <v>1054</v>
      </c>
      <c r="E436" s="265">
        <v>9999</v>
      </c>
      <c r="F436" s="265">
        <v>0</v>
      </c>
      <c r="G436" s="75"/>
    </row>
    <row r="437" spans="1:7" x14ac:dyDescent="0.25">
      <c r="A437" s="265" t="s">
        <v>2005</v>
      </c>
      <c r="B437" s="265" t="s">
        <v>1054</v>
      </c>
      <c r="C437" s="265" t="s">
        <v>1054</v>
      </c>
      <c r="D437" s="265" t="s">
        <v>1054</v>
      </c>
      <c r="E437" s="265">
        <v>9999</v>
      </c>
      <c r="F437" s="265">
        <v>0</v>
      </c>
      <c r="G437" s="75"/>
    </row>
    <row r="438" spans="1:7" x14ac:dyDescent="0.25">
      <c r="A438" s="265" t="s">
        <v>2005</v>
      </c>
      <c r="B438" s="265" t="s">
        <v>1054</v>
      </c>
      <c r="C438" s="265" t="s">
        <v>1054</v>
      </c>
      <c r="D438" s="265" t="s">
        <v>1054</v>
      </c>
      <c r="E438" s="265">
        <v>9999</v>
      </c>
      <c r="F438" s="265">
        <v>0</v>
      </c>
      <c r="G438" s="75"/>
    </row>
    <row r="439" spans="1:7" x14ac:dyDescent="0.25">
      <c r="A439" s="265" t="s">
        <v>2005</v>
      </c>
      <c r="B439" s="265" t="s">
        <v>1054</v>
      </c>
      <c r="C439" s="265" t="s">
        <v>1054</v>
      </c>
      <c r="D439" s="265" t="s">
        <v>1054</v>
      </c>
      <c r="E439" s="265">
        <v>9999</v>
      </c>
      <c r="F439" s="265">
        <v>0</v>
      </c>
      <c r="G439" s="75"/>
    </row>
    <row r="440" spans="1:7" x14ac:dyDescent="0.25">
      <c r="A440" s="265" t="s">
        <v>2005</v>
      </c>
      <c r="B440" s="265" t="s">
        <v>1054</v>
      </c>
      <c r="C440" s="265" t="s">
        <v>1054</v>
      </c>
      <c r="D440" s="265" t="s">
        <v>1054</v>
      </c>
      <c r="E440" s="265">
        <v>9999</v>
      </c>
      <c r="F440" s="265">
        <v>0</v>
      </c>
      <c r="G440" s="75"/>
    </row>
    <row r="441" spans="1:7" x14ac:dyDescent="0.25">
      <c r="A441" s="265" t="s">
        <v>2005</v>
      </c>
      <c r="B441" s="265" t="s">
        <v>1054</v>
      </c>
      <c r="C441" s="265" t="s">
        <v>1054</v>
      </c>
      <c r="D441" s="265" t="s">
        <v>1054</v>
      </c>
      <c r="E441" s="265">
        <v>9999</v>
      </c>
      <c r="F441" s="265">
        <v>0</v>
      </c>
      <c r="G441" s="75"/>
    </row>
    <row r="442" spans="1:7" x14ac:dyDescent="0.25">
      <c r="A442" s="265" t="s">
        <v>2005</v>
      </c>
      <c r="B442" s="265" t="s">
        <v>1054</v>
      </c>
      <c r="C442" s="265" t="s">
        <v>1054</v>
      </c>
      <c r="D442" s="265" t="s">
        <v>1054</v>
      </c>
      <c r="E442" s="265">
        <v>9999</v>
      </c>
      <c r="F442" s="265">
        <v>0</v>
      </c>
      <c r="G442" s="75"/>
    </row>
    <row r="443" spans="1:7" x14ac:dyDescent="0.25">
      <c r="A443" s="265" t="s">
        <v>2005</v>
      </c>
      <c r="B443" s="265" t="s">
        <v>1054</v>
      </c>
      <c r="C443" s="265" t="s">
        <v>1054</v>
      </c>
      <c r="D443" s="265" t="s">
        <v>1054</v>
      </c>
      <c r="E443" s="265">
        <v>9999</v>
      </c>
      <c r="F443" s="265">
        <v>0</v>
      </c>
      <c r="G443" s="75"/>
    </row>
    <row r="444" spans="1:7" x14ac:dyDescent="0.25">
      <c r="A444" s="265" t="s">
        <v>2005</v>
      </c>
      <c r="B444" s="265" t="s">
        <v>1054</v>
      </c>
      <c r="C444" s="265" t="s">
        <v>1054</v>
      </c>
      <c r="D444" s="265" t="s">
        <v>1054</v>
      </c>
      <c r="E444" s="265">
        <v>9999</v>
      </c>
      <c r="F444" s="265">
        <v>0</v>
      </c>
      <c r="G444" s="75"/>
    </row>
    <row r="445" spans="1:7" x14ac:dyDescent="0.25">
      <c r="A445" s="265" t="s">
        <v>2005</v>
      </c>
      <c r="B445" s="265" t="s">
        <v>1054</v>
      </c>
      <c r="C445" s="265" t="s">
        <v>1054</v>
      </c>
      <c r="D445" s="265" t="s">
        <v>1054</v>
      </c>
      <c r="E445" s="265">
        <v>9999</v>
      </c>
      <c r="F445" s="265">
        <v>0</v>
      </c>
      <c r="G445" s="75"/>
    </row>
    <row r="446" spans="1:7" x14ac:dyDescent="0.25">
      <c r="A446" s="265" t="s">
        <v>2005</v>
      </c>
      <c r="B446" s="265" t="s">
        <v>1054</v>
      </c>
      <c r="C446" s="265" t="s">
        <v>1054</v>
      </c>
      <c r="D446" s="265" t="s">
        <v>1054</v>
      </c>
      <c r="E446" s="265">
        <v>9999</v>
      </c>
      <c r="F446" s="265">
        <v>0</v>
      </c>
      <c r="G446" s="75"/>
    </row>
    <row r="447" spans="1:7" x14ac:dyDescent="0.25">
      <c r="A447" s="265" t="s">
        <v>2005</v>
      </c>
      <c r="B447" s="265" t="s">
        <v>1054</v>
      </c>
      <c r="C447" s="265" t="s">
        <v>1054</v>
      </c>
      <c r="D447" s="265" t="s">
        <v>1054</v>
      </c>
      <c r="E447" s="265">
        <v>9999</v>
      </c>
      <c r="F447" s="265">
        <v>0</v>
      </c>
      <c r="G447" s="75"/>
    </row>
    <row r="448" spans="1:7" x14ac:dyDescent="0.25">
      <c r="A448" s="265" t="s">
        <v>2005</v>
      </c>
      <c r="B448" s="265" t="s">
        <v>1054</v>
      </c>
      <c r="C448" s="265" t="s">
        <v>1054</v>
      </c>
      <c r="D448" s="265" t="s">
        <v>1054</v>
      </c>
      <c r="E448" s="265">
        <v>9999</v>
      </c>
      <c r="F448" s="265">
        <v>0</v>
      </c>
      <c r="G448" s="75"/>
    </row>
    <row r="449" spans="1:7" x14ac:dyDescent="0.25">
      <c r="A449" s="265" t="s">
        <v>2005</v>
      </c>
      <c r="B449" s="265" t="s">
        <v>1054</v>
      </c>
      <c r="C449" s="265" t="s">
        <v>1054</v>
      </c>
      <c r="D449" s="265" t="s">
        <v>1054</v>
      </c>
      <c r="E449" s="265">
        <v>9999</v>
      </c>
      <c r="F449" s="265">
        <v>0</v>
      </c>
      <c r="G449" s="75"/>
    </row>
    <row r="450" spans="1:7" x14ac:dyDescent="0.25">
      <c r="A450" s="265" t="s">
        <v>2005</v>
      </c>
      <c r="B450" s="265" t="s">
        <v>1054</v>
      </c>
      <c r="C450" s="265" t="s">
        <v>1054</v>
      </c>
      <c r="D450" s="265" t="s">
        <v>1054</v>
      </c>
      <c r="E450" s="265">
        <v>9999</v>
      </c>
      <c r="F450" s="265">
        <v>0</v>
      </c>
      <c r="G450" s="75"/>
    </row>
    <row r="451" spans="1:7" x14ac:dyDescent="0.25">
      <c r="A451" s="265" t="s">
        <v>2005</v>
      </c>
      <c r="B451" s="265" t="s">
        <v>1054</v>
      </c>
      <c r="C451" s="265" t="s">
        <v>1054</v>
      </c>
      <c r="D451" s="265" t="s">
        <v>1054</v>
      </c>
      <c r="E451" s="265">
        <v>9999</v>
      </c>
      <c r="F451" s="265">
        <v>0</v>
      </c>
      <c r="G451" s="75"/>
    </row>
    <row r="452" spans="1:7" x14ac:dyDescent="0.25">
      <c r="A452" s="265" t="s">
        <v>2005</v>
      </c>
      <c r="B452" s="265" t="s">
        <v>1054</v>
      </c>
      <c r="C452" s="265" t="s">
        <v>1054</v>
      </c>
      <c r="D452" s="265" t="s">
        <v>1054</v>
      </c>
      <c r="E452" s="265">
        <v>9999</v>
      </c>
      <c r="F452" s="265">
        <v>0</v>
      </c>
      <c r="G452" s="75"/>
    </row>
    <row r="453" spans="1:7" x14ac:dyDescent="0.25">
      <c r="A453" s="265" t="s">
        <v>2005</v>
      </c>
      <c r="B453" s="265" t="s">
        <v>1054</v>
      </c>
      <c r="C453" s="265" t="s">
        <v>1054</v>
      </c>
      <c r="D453" s="265" t="s">
        <v>1054</v>
      </c>
      <c r="E453" s="265">
        <v>9999</v>
      </c>
      <c r="F453" s="265">
        <v>0</v>
      </c>
      <c r="G453" s="75"/>
    </row>
    <row r="454" spans="1:7" x14ac:dyDescent="0.25">
      <c r="A454" s="265" t="s">
        <v>2005</v>
      </c>
      <c r="B454" s="265" t="s">
        <v>1054</v>
      </c>
      <c r="C454" s="265" t="s">
        <v>1054</v>
      </c>
      <c r="D454" s="265" t="s">
        <v>1054</v>
      </c>
      <c r="E454" s="265">
        <v>9999</v>
      </c>
      <c r="F454" s="265">
        <v>0</v>
      </c>
      <c r="G454" s="75"/>
    </row>
    <row r="455" spans="1:7" x14ac:dyDescent="0.25">
      <c r="A455" s="265" t="s">
        <v>2005</v>
      </c>
      <c r="B455" s="265" t="s">
        <v>1054</v>
      </c>
      <c r="C455" s="265" t="s">
        <v>1054</v>
      </c>
      <c r="D455" s="265" t="s">
        <v>1054</v>
      </c>
      <c r="E455" s="265">
        <v>9999</v>
      </c>
      <c r="F455" s="265">
        <v>0</v>
      </c>
      <c r="G455" s="75"/>
    </row>
    <row r="456" spans="1:7" x14ac:dyDescent="0.25">
      <c r="A456" s="265" t="s">
        <v>2005</v>
      </c>
      <c r="B456" s="265" t="s">
        <v>1054</v>
      </c>
      <c r="C456" s="265" t="s">
        <v>1054</v>
      </c>
      <c r="D456" s="265" t="s">
        <v>1054</v>
      </c>
      <c r="E456" s="265">
        <v>9999</v>
      </c>
      <c r="F456" s="265">
        <v>0</v>
      </c>
      <c r="G456" s="75"/>
    </row>
    <row r="457" spans="1:7" x14ac:dyDescent="0.25">
      <c r="A457" s="265" t="s">
        <v>2005</v>
      </c>
      <c r="B457" s="265" t="s">
        <v>1054</v>
      </c>
      <c r="C457" s="265" t="s">
        <v>1054</v>
      </c>
      <c r="D457" s="265" t="s">
        <v>1054</v>
      </c>
      <c r="E457" s="265">
        <v>9999</v>
      </c>
      <c r="F457" s="265">
        <v>0</v>
      </c>
      <c r="G457" s="75"/>
    </row>
    <row r="458" spans="1:7" x14ac:dyDescent="0.25">
      <c r="A458" s="265" t="s">
        <v>2005</v>
      </c>
      <c r="B458" s="265" t="s">
        <v>1054</v>
      </c>
      <c r="C458" s="265" t="s">
        <v>1054</v>
      </c>
      <c r="D458" s="265" t="s">
        <v>1054</v>
      </c>
      <c r="E458" s="265">
        <v>9999</v>
      </c>
      <c r="F458" s="265">
        <v>0</v>
      </c>
      <c r="G458" s="75"/>
    </row>
    <row r="459" spans="1:7" x14ac:dyDescent="0.25">
      <c r="A459" s="265" t="s">
        <v>2005</v>
      </c>
      <c r="B459" s="265" t="s">
        <v>1054</v>
      </c>
      <c r="C459" s="265" t="s">
        <v>1054</v>
      </c>
      <c r="D459" s="265" t="s">
        <v>1054</v>
      </c>
      <c r="E459" s="265">
        <v>9999</v>
      </c>
      <c r="F459" s="265">
        <v>0</v>
      </c>
      <c r="G459" s="75"/>
    </row>
    <row r="460" spans="1:7" x14ac:dyDescent="0.25">
      <c r="A460" s="265" t="s">
        <v>2005</v>
      </c>
      <c r="B460" s="265" t="s">
        <v>1054</v>
      </c>
      <c r="C460" s="265" t="s">
        <v>1054</v>
      </c>
      <c r="D460" s="265" t="s">
        <v>1054</v>
      </c>
      <c r="E460" s="265">
        <v>9999</v>
      </c>
      <c r="F460" s="265">
        <v>0</v>
      </c>
      <c r="G460" s="75"/>
    </row>
    <row r="461" spans="1:7" x14ac:dyDescent="0.25">
      <c r="A461" s="265" t="s">
        <v>2005</v>
      </c>
      <c r="B461" s="265" t="s">
        <v>1054</v>
      </c>
      <c r="C461" s="265" t="s">
        <v>1054</v>
      </c>
      <c r="D461" s="265" t="s">
        <v>1054</v>
      </c>
      <c r="E461" s="265">
        <v>9999</v>
      </c>
      <c r="F461" s="265">
        <v>0</v>
      </c>
      <c r="G461" s="75"/>
    </row>
    <row r="462" spans="1:7" x14ac:dyDescent="0.25">
      <c r="A462" s="265" t="s">
        <v>2005</v>
      </c>
      <c r="B462" s="265" t="s">
        <v>1054</v>
      </c>
      <c r="C462" s="265" t="s">
        <v>1054</v>
      </c>
      <c r="D462" s="265" t="s">
        <v>1054</v>
      </c>
      <c r="E462" s="265">
        <v>9999</v>
      </c>
      <c r="F462" s="265">
        <v>0</v>
      </c>
      <c r="G462" s="75"/>
    </row>
    <row r="463" spans="1:7" x14ac:dyDescent="0.25">
      <c r="A463" s="265" t="s">
        <v>2005</v>
      </c>
      <c r="B463" s="265" t="s">
        <v>1054</v>
      </c>
      <c r="C463" s="265" t="s">
        <v>1054</v>
      </c>
      <c r="D463" s="265" t="s">
        <v>1054</v>
      </c>
      <c r="E463" s="265">
        <v>9999</v>
      </c>
      <c r="F463" s="265">
        <v>0</v>
      </c>
      <c r="G463" s="75"/>
    </row>
    <row r="464" spans="1:7" x14ac:dyDescent="0.25">
      <c r="A464" s="265" t="s">
        <v>2005</v>
      </c>
      <c r="B464" s="265" t="s">
        <v>1054</v>
      </c>
      <c r="C464" s="265" t="s">
        <v>1054</v>
      </c>
      <c r="D464" s="265" t="s">
        <v>1054</v>
      </c>
      <c r="E464" s="265">
        <v>9999</v>
      </c>
      <c r="F464" s="265">
        <v>0</v>
      </c>
      <c r="G464" s="75"/>
    </row>
    <row r="465" spans="1:7" x14ac:dyDescent="0.25">
      <c r="A465" s="265" t="s">
        <v>2005</v>
      </c>
      <c r="B465" s="265" t="s">
        <v>1054</v>
      </c>
      <c r="C465" s="265" t="s">
        <v>1054</v>
      </c>
      <c r="D465" s="265" t="s">
        <v>1054</v>
      </c>
      <c r="E465" s="265">
        <v>9999</v>
      </c>
      <c r="F465" s="265">
        <v>0</v>
      </c>
      <c r="G465" s="75"/>
    </row>
    <row r="466" spans="1:7" x14ac:dyDescent="0.25">
      <c r="A466" s="265" t="s">
        <v>2005</v>
      </c>
      <c r="B466" s="265" t="s">
        <v>1054</v>
      </c>
      <c r="C466" s="265" t="s">
        <v>1054</v>
      </c>
      <c r="D466" s="265" t="s">
        <v>1054</v>
      </c>
      <c r="E466" s="265">
        <v>9999</v>
      </c>
      <c r="F466" s="265">
        <v>0</v>
      </c>
      <c r="G466" s="75"/>
    </row>
    <row r="467" spans="1:7" x14ac:dyDescent="0.25">
      <c r="A467" s="265" t="s">
        <v>2005</v>
      </c>
      <c r="B467" s="265" t="s">
        <v>1054</v>
      </c>
      <c r="C467" s="265" t="s">
        <v>1054</v>
      </c>
      <c r="D467" s="265" t="s">
        <v>1054</v>
      </c>
      <c r="E467" s="265">
        <v>9999</v>
      </c>
      <c r="F467" s="265">
        <v>0</v>
      </c>
      <c r="G467" s="75"/>
    </row>
    <row r="468" spans="1:7" x14ac:dyDescent="0.25">
      <c r="A468" s="265" t="s">
        <v>2005</v>
      </c>
      <c r="B468" s="265" t="s">
        <v>1054</v>
      </c>
      <c r="C468" s="265" t="s">
        <v>1054</v>
      </c>
      <c r="D468" s="265" t="s">
        <v>1054</v>
      </c>
      <c r="E468" s="265">
        <v>9999</v>
      </c>
      <c r="F468" s="265">
        <v>0</v>
      </c>
      <c r="G468" s="75"/>
    </row>
    <row r="469" spans="1:7" x14ac:dyDescent="0.25">
      <c r="A469" s="265" t="s">
        <v>2005</v>
      </c>
      <c r="B469" s="265" t="s">
        <v>1054</v>
      </c>
      <c r="C469" s="265" t="s">
        <v>1054</v>
      </c>
      <c r="D469" s="265" t="s">
        <v>1054</v>
      </c>
      <c r="E469" s="265">
        <v>9999</v>
      </c>
      <c r="F469" s="265">
        <v>0</v>
      </c>
      <c r="G469" s="75"/>
    </row>
    <row r="470" spans="1:7" x14ac:dyDescent="0.25">
      <c r="A470" s="265" t="s">
        <v>2005</v>
      </c>
      <c r="B470" s="265" t="s">
        <v>1054</v>
      </c>
      <c r="C470" s="265" t="s">
        <v>1054</v>
      </c>
      <c r="D470" s="265" t="s">
        <v>1054</v>
      </c>
      <c r="E470" s="265">
        <v>9999</v>
      </c>
      <c r="F470" s="265">
        <v>0</v>
      </c>
      <c r="G470" s="75"/>
    </row>
    <row r="471" spans="1:7" x14ac:dyDescent="0.25">
      <c r="A471" s="265" t="s">
        <v>2005</v>
      </c>
      <c r="B471" s="265" t="s">
        <v>1054</v>
      </c>
      <c r="C471" s="265" t="s">
        <v>1054</v>
      </c>
      <c r="D471" s="265" t="s">
        <v>1054</v>
      </c>
      <c r="E471" s="265">
        <v>9999</v>
      </c>
      <c r="F471" s="265">
        <v>0</v>
      </c>
      <c r="G471" s="75"/>
    </row>
    <row r="472" spans="1:7" x14ac:dyDescent="0.25">
      <c r="A472" s="265" t="s">
        <v>2005</v>
      </c>
      <c r="B472" s="265" t="s">
        <v>1054</v>
      </c>
      <c r="C472" s="265" t="s">
        <v>1054</v>
      </c>
      <c r="D472" s="265" t="s">
        <v>1054</v>
      </c>
      <c r="E472" s="265">
        <v>9999</v>
      </c>
      <c r="F472" s="265">
        <v>0</v>
      </c>
      <c r="G472" s="75"/>
    </row>
    <row r="473" spans="1:7" x14ac:dyDescent="0.25">
      <c r="A473" s="265" t="s">
        <v>2005</v>
      </c>
      <c r="B473" s="265" t="s">
        <v>1054</v>
      </c>
      <c r="C473" s="265" t="s">
        <v>1054</v>
      </c>
      <c r="D473" s="265" t="s">
        <v>1054</v>
      </c>
      <c r="E473" s="265">
        <v>9999</v>
      </c>
      <c r="F473" s="265">
        <v>0</v>
      </c>
      <c r="G473" s="75"/>
    </row>
    <row r="474" spans="1:7" x14ac:dyDescent="0.25">
      <c r="A474" s="265" t="s">
        <v>2005</v>
      </c>
      <c r="B474" s="265" t="s">
        <v>1054</v>
      </c>
      <c r="C474" s="265" t="s">
        <v>1054</v>
      </c>
      <c r="D474" s="265" t="s">
        <v>1054</v>
      </c>
      <c r="E474" s="265">
        <v>9999</v>
      </c>
      <c r="F474" s="265">
        <v>0</v>
      </c>
      <c r="G474" s="75"/>
    </row>
    <row r="475" spans="1:7" x14ac:dyDescent="0.25">
      <c r="A475" s="265" t="s">
        <v>2005</v>
      </c>
      <c r="B475" s="265" t="s">
        <v>1054</v>
      </c>
      <c r="C475" s="265" t="s">
        <v>1054</v>
      </c>
      <c r="D475" s="265" t="s">
        <v>1054</v>
      </c>
      <c r="E475" s="265">
        <v>9999</v>
      </c>
      <c r="F475" s="265">
        <v>0</v>
      </c>
      <c r="G475" s="75"/>
    </row>
    <row r="476" spans="1:7" x14ac:dyDescent="0.25">
      <c r="A476" s="265" t="s">
        <v>2005</v>
      </c>
      <c r="B476" s="265" t="s">
        <v>1054</v>
      </c>
      <c r="C476" s="265" t="s">
        <v>1054</v>
      </c>
      <c r="D476" s="265" t="s">
        <v>1054</v>
      </c>
      <c r="E476" s="265">
        <v>9999</v>
      </c>
      <c r="F476" s="265">
        <v>0</v>
      </c>
      <c r="G476" s="75"/>
    </row>
    <row r="477" spans="1:7" x14ac:dyDescent="0.25">
      <c r="A477" s="265" t="s">
        <v>2005</v>
      </c>
      <c r="B477" s="265" t="s">
        <v>1054</v>
      </c>
      <c r="C477" s="265" t="s">
        <v>1054</v>
      </c>
      <c r="D477" s="265" t="s">
        <v>1054</v>
      </c>
      <c r="E477" s="265">
        <v>9999</v>
      </c>
      <c r="F477" s="265">
        <v>0</v>
      </c>
      <c r="G477" s="75"/>
    </row>
    <row r="478" spans="1:7" x14ac:dyDescent="0.25">
      <c r="A478" s="265" t="s">
        <v>2005</v>
      </c>
      <c r="B478" s="265" t="s">
        <v>1054</v>
      </c>
      <c r="C478" s="265" t="s">
        <v>1054</v>
      </c>
      <c r="D478" s="265" t="s">
        <v>1054</v>
      </c>
      <c r="E478" s="265">
        <v>9999</v>
      </c>
      <c r="F478" s="265">
        <v>0</v>
      </c>
      <c r="G478" s="75"/>
    </row>
    <row r="479" spans="1:7" x14ac:dyDescent="0.25">
      <c r="A479" s="265" t="s">
        <v>2005</v>
      </c>
      <c r="B479" s="265" t="s">
        <v>1054</v>
      </c>
      <c r="C479" s="265" t="s">
        <v>1054</v>
      </c>
      <c r="D479" s="265" t="s">
        <v>1054</v>
      </c>
      <c r="E479" s="265">
        <v>9999</v>
      </c>
      <c r="F479" s="265">
        <v>0</v>
      </c>
      <c r="G479" s="75"/>
    </row>
    <row r="480" spans="1:7" x14ac:dyDescent="0.25">
      <c r="A480" s="265" t="s">
        <v>2005</v>
      </c>
      <c r="B480" s="265" t="s">
        <v>1054</v>
      </c>
      <c r="C480" s="265" t="s">
        <v>1054</v>
      </c>
      <c r="D480" s="265" t="s">
        <v>1054</v>
      </c>
      <c r="E480" s="265">
        <v>9999</v>
      </c>
      <c r="F480" s="265">
        <v>0</v>
      </c>
      <c r="G480" s="75"/>
    </row>
    <row r="481" spans="1:7" x14ac:dyDescent="0.25">
      <c r="A481" s="265" t="s">
        <v>2005</v>
      </c>
      <c r="B481" s="265" t="s">
        <v>1054</v>
      </c>
      <c r="C481" s="265" t="s">
        <v>1054</v>
      </c>
      <c r="D481" s="265" t="s">
        <v>1054</v>
      </c>
      <c r="E481" s="265">
        <v>9999</v>
      </c>
      <c r="F481" s="265">
        <v>0</v>
      </c>
      <c r="G481" s="75"/>
    </row>
    <row r="482" spans="1:7" x14ac:dyDescent="0.25">
      <c r="A482" s="265" t="s">
        <v>2005</v>
      </c>
      <c r="B482" s="265" t="s">
        <v>1054</v>
      </c>
      <c r="C482" s="265" t="s">
        <v>1054</v>
      </c>
      <c r="D482" s="265" t="s">
        <v>1054</v>
      </c>
      <c r="E482" s="265">
        <v>9999</v>
      </c>
      <c r="F482" s="265">
        <v>0</v>
      </c>
      <c r="G482" s="75"/>
    </row>
    <row r="483" spans="1:7" x14ac:dyDescent="0.25">
      <c r="A483" s="265" t="s">
        <v>2005</v>
      </c>
      <c r="B483" s="265" t="s">
        <v>1054</v>
      </c>
      <c r="C483" s="265" t="s">
        <v>1054</v>
      </c>
      <c r="D483" s="265" t="s">
        <v>1054</v>
      </c>
      <c r="E483" s="265">
        <v>9999</v>
      </c>
      <c r="F483" s="265">
        <v>0</v>
      </c>
      <c r="G483" s="75"/>
    </row>
    <row r="484" spans="1:7" x14ac:dyDescent="0.25">
      <c r="A484" s="265" t="s">
        <v>2005</v>
      </c>
      <c r="B484" s="265" t="s">
        <v>1054</v>
      </c>
      <c r="C484" s="265" t="s">
        <v>1054</v>
      </c>
      <c r="D484" s="265" t="s">
        <v>1054</v>
      </c>
      <c r="E484" s="265">
        <v>9999</v>
      </c>
      <c r="F484" s="265">
        <v>0</v>
      </c>
      <c r="G484" s="75"/>
    </row>
    <row r="485" spans="1:7" x14ac:dyDescent="0.25">
      <c r="A485" s="265" t="s">
        <v>2005</v>
      </c>
      <c r="B485" s="265" t="s">
        <v>1054</v>
      </c>
      <c r="C485" s="265" t="s">
        <v>1054</v>
      </c>
      <c r="D485" s="265" t="s">
        <v>1054</v>
      </c>
      <c r="E485" s="265">
        <v>9999</v>
      </c>
      <c r="F485" s="265">
        <v>0</v>
      </c>
      <c r="G485" s="75"/>
    </row>
    <row r="486" spans="1:7" x14ac:dyDescent="0.25">
      <c r="A486" s="265" t="s">
        <v>2005</v>
      </c>
      <c r="B486" s="265" t="s">
        <v>1054</v>
      </c>
      <c r="C486" s="265" t="s">
        <v>1054</v>
      </c>
      <c r="D486" s="265" t="s">
        <v>1054</v>
      </c>
      <c r="E486" s="265">
        <v>9999</v>
      </c>
      <c r="F486" s="265">
        <v>0</v>
      </c>
      <c r="G486" s="75"/>
    </row>
    <row r="487" spans="1:7" x14ac:dyDescent="0.25">
      <c r="A487" s="265" t="s">
        <v>2005</v>
      </c>
      <c r="B487" s="265" t="s">
        <v>1054</v>
      </c>
      <c r="C487" s="265" t="s">
        <v>1054</v>
      </c>
      <c r="D487" s="265" t="s">
        <v>1054</v>
      </c>
      <c r="E487" s="265">
        <v>9999</v>
      </c>
      <c r="F487" s="265">
        <v>0</v>
      </c>
      <c r="G487" s="75"/>
    </row>
    <row r="488" spans="1:7" x14ac:dyDescent="0.25">
      <c r="A488" s="265" t="s">
        <v>2005</v>
      </c>
      <c r="B488" s="265" t="s">
        <v>1054</v>
      </c>
      <c r="C488" s="265" t="s">
        <v>1054</v>
      </c>
      <c r="D488" s="265" t="s">
        <v>1054</v>
      </c>
      <c r="E488" s="265">
        <v>9999</v>
      </c>
      <c r="F488" s="265">
        <v>0</v>
      </c>
      <c r="G488" s="75"/>
    </row>
    <row r="489" spans="1:7" x14ac:dyDescent="0.25">
      <c r="A489" s="265" t="s">
        <v>2005</v>
      </c>
      <c r="B489" s="265" t="s">
        <v>1054</v>
      </c>
      <c r="C489" s="265" t="s">
        <v>1054</v>
      </c>
      <c r="D489" s="265" t="s">
        <v>1054</v>
      </c>
      <c r="E489" s="265">
        <v>9999</v>
      </c>
      <c r="F489" s="265">
        <v>0</v>
      </c>
      <c r="G489" s="75"/>
    </row>
    <row r="490" spans="1:7" x14ac:dyDescent="0.25">
      <c r="A490" s="265" t="s">
        <v>2005</v>
      </c>
      <c r="B490" s="265" t="s">
        <v>1054</v>
      </c>
      <c r="C490" s="265" t="s">
        <v>1054</v>
      </c>
      <c r="D490" s="265" t="s">
        <v>1054</v>
      </c>
      <c r="E490" s="265">
        <v>9999</v>
      </c>
      <c r="F490" s="265">
        <v>0</v>
      </c>
      <c r="G490" s="75"/>
    </row>
    <row r="491" spans="1:7" x14ac:dyDescent="0.25">
      <c r="A491" s="265" t="s">
        <v>2005</v>
      </c>
      <c r="B491" s="265" t="s">
        <v>1054</v>
      </c>
      <c r="C491" s="265" t="s">
        <v>1054</v>
      </c>
      <c r="D491" s="265" t="s">
        <v>1054</v>
      </c>
      <c r="E491" s="265">
        <v>9999</v>
      </c>
      <c r="F491" s="265">
        <v>0</v>
      </c>
      <c r="G491" s="75"/>
    </row>
    <row r="492" spans="1:7" x14ac:dyDescent="0.25">
      <c r="A492" s="265" t="s">
        <v>2005</v>
      </c>
      <c r="B492" s="265" t="s">
        <v>1054</v>
      </c>
      <c r="C492" s="265" t="s">
        <v>1054</v>
      </c>
      <c r="D492" s="265" t="s">
        <v>1054</v>
      </c>
      <c r="E492" s="265">
        <v>9999</v>
      </c>
      <c r="F492" s="265">
        <v>0</v>
      </c>
      <c r="G492" s="75"/>
    </row>
    <row r="493" spans="1:7" x14ac:dyDescent="0.25">
      <c r="A493" s="265" t="s">
        <v>2005</v>
      </c>
      <c r="B493" s="265" t="s">
        <v>1054</v>
      </c>
      <c r="C493" s="265" t="s">
        <v>1054</v>
      </c>
      <c r="D493" s="265" t="s">
        <v>1054</v>
      </c>
      <c r="E493" s="265">
        <v>9999</v>
      </c>
      <c r="F493" s="265">
        <v>0</v>
      </c>
      <c r="G493" s="75"/>
    </row>
    <row r="494" spans="1:7" x14ac:dyDescent="0.25">
      <c r="A494" s="265" t="s">
        <v>2005</v>
      </c>
      <c r="B494" s="265" t="s">
        <v>1054</v>
      </c>
      <c r="C494" s="265" t="s">
        <v>1054</v>
      </c>
      <c r="D494" s="265" t="s">
        <v>1054</v>
      </c>
      <c r="E494" s="265">
        <v>9999</v>
      </c>
      <c r="F494" s="265">
        <v>0</v>
      </c>
      <c r="G494" s="75"/>
    </row>
    <row r="495" spans="1:7" x14ac:dyDescent="0.25">
      <c r="A495" s="265" t="s">
        <v>2005</v>
      </c>
      <c r="B495" s="265" t="s">
        <v>1054</v>
      </c>
      <c r="C495" s="265" t="s">
        <v>1054</v>
      </c>
      <c r="D495" s="265" t="s">
        <v>1054</v>
      </c>
      <c r="E495" s="265">
        <v>9999</v>
      </c>
      <c r="F495" s="265">
        <v>0</v>
      </c>
      <c r="G495" s="75"/>
    </row>
    <row r="496" spans="1:7" x14ac:dyDescent="0.25">
      <c r="A496" s="265" t="s">
        <v>2005</v>
      </c>
      <c r="B496" s="265" t="s">
        <v>1054</v>
      </c>
      <c r="C496" s="265" t="s">
        <v>1054</v>
      </c>
      <c r="D496" s="265" t="s">
        <v>1054</v>
      </c>
      <c r="E496" s="265">
        <v>9999</v>
      </c>
      <c r="F496" s="265">
        <v>0</v>
      </c>
      <c r="G496" s="75"/>
    </row>
    <row r="497" spans="1:7" x14ac:dyDescent="0.25">
      <c r="A497" s="265" t="s">
        <v>2005</v>
      </c>
      <c r="B497" s="265" t="s">
        <v>1054</v>
      </c>
      <c r="C497" s="265" t="s">
        <v>1054</v>
      </c>
      <c r="D497" s="265" t="s">
        <v>1054</v>
      </c>
      <c r="E497" s="265">
        <v>9999</v>
      </c>
      <c r="F497" s="265">
        <v>0</v>
      </c>
      <c r="G497" s="75"/>
    </row>
    <row r="498" spans="1:7" x14ac:dyDescent="0.25">
      <c r="A498" s="265" t="s">
        <v>2005</v>
      </c>
      <c r="B498" s="265" t="s">
        <v>1054</v>
      </c>
      <c r="C498" s="265" t="s">
        <v>1054</v>
      </c>
      <c r="D498" s="265" t="s">
        <v>1054</v>
      </c>
      <c r="E498" s="265">
        <v>9999</v>
      </c>
      <c r="F498" s="265">
        <v>0</v>
      </c>
      <c r="G498" s="75"/>
    </row>
    <row r="499" spans="1:7" x14ac:dyDescent="0.25">
      <c r="A499" s="265" t="s">
        <v>2005</v>
      </c>
      <c r="B499" s="265" t="s">
        <v>1054</v>
      </c>
      <c r="C499" s="265" t="s">
        <v>1054</v>
      </c>
      <c r="D499" s="265" t="s">
        <v>1054</v>
      </c>
      <c r="E499" s="265">
        <v>9999</v>
      </c>
      <c r="F499" s="265">
        <v>0</v>
      </c>
      <c r="G499" s="75"/>
    </row>
    <row r="500" spans="1:7" x14ac:dyDescent="0.25">
      <c r="A500" s="265" t="s">
        <v>2005</v>
      </c>
      <c r="B500" s="265" t="s">
        <v>1054</v>
      </c>
      <c r="C500" s="265" t="s">
        <v>1054</v>
      </c>
      <c r="D500" s="265" t="s">
        <v>1054</v>
      </c>
      <c r="E500" s="265">
        <v>9999</v>
      </c>
      <c r="F500" s="265">
        <v>0</v>
      </c>
      <c r="G500" s="75"/>
    </row>
    <row r="501" spans="1:7" x14ac:dyDescent="0.25">
      <c r="A501" s="265" t="s">
        <v>2005</v>
      </c>
      <c r="B501" s="265" t="s">
        <v>1054</v>
      </c>
      <c r="C501" s="265" t="s">
        <v>1054</v>
      </c>
      <c r="D501" s="265" t="s">
        <v>1054</v>
      </c>
      <c r="E501" s="265">
        <v>9999</v>
      </c>
      <c r="F501" s="265">
        <v>0</v>
      </c>
      <c r="G501" s="75"/>
    </row>
    <row r="502" spans="1:7" x14ac:dyDescent="0.25">
      <c r="A502" s="265" t="s">
        <v>2005</v>
      </c>
      <c r="B502" s="265" t="s">
        <v>1054</v>
      </c>
      <c r="C502" s="265" t="s">
        <v>1054</v>
      </c>
      <c r="D502" s="265" t="s">
        <v>1054</v>
      </c>
      <c r="E502" s="265">
        <v>9999</v>
      </c>
      <c r="F502" s="265">
        <v>0</v>
      </c>
      <c r="G502" s="75"/>
    </row>
    <row r="503" spans="1:7" x14ac:dyDescent="0.25">
      <c r="A503" s="265" t="s">
        <v>2005</v>
      </c>
      <c r="B503" s="265" t="s">
        <v>1054</v>
      </c>
      <c r="C503" s="265" t="s">
        <v>1054</v>
      </c>
      <c r="D503" s="265" t="s">
        <v>1054</v>
      </c>
      <c r="E503" s="265">
        <v>9999</v>
      </c>
      <c r="F503" s="265">
        <v>0</v>
      </c>
      <c r="G503" s="75"/>
    </row>
    <row r="504" spans="1:7" x14ac:dyDescent="0.25">
      <c r="A504" s="265" t="s">
        <v>2005</v>
      </c>
      <c r="B504" s="265" t="s">
        <v>1054</v>
      </c>
      <c r="C504" s="265" t="s">
        <v>1054</v>
      </c>
      <c r="D504" s="265" t="s">
        <v>1054</v>
      </c>
      <c r="E504" s="265">
        <v>9999</v>
      </c>
      <c r="F504" s="265">
        <v>0</v>
      </c>
      <c r="G504" s="75"/>
    </row>
    <row r="505" spans="1:7" x14ac:dyDescent="0.25">
      <c r="A505" s="265" t="s">
        <v>2005</v>
      </c>
      <c r="B505" s="265" t="s">
        <v>1054</v>
      </c>
      <c r="C505" s="265" t="s">
        <v>1054</v>
      </c>
      <c r="D505" s="265" t="s">
        <v>1054</v>
      </c>
      <c r="E505" s="265">
        <v>9999</v>
      </c>
      <c r="F505" s="265">
        <v>0</v>
      </c>
      <c r="G505" s="75"/>
    </row>
    <row r="506" spans="1:7" x14ac:dyDescent="0.25">
      <c r="A506" s="265" t="s">
        <v>2005</v>
      </c>
      <c r="B506" s="265" t="s">
        <v>1054</v>
      </c>
      <c r="C506" s="265" t="s">
        <v>1054</v>
      </c>
      <c r="D506" s="265" t="s">
        <v>1054</v>
      </c>
      <c r="E506" s="265">
        <v>9999</v>
      </c>
      <c r="F506" s="265">
        <v>0</v>
      </c>
      <c r="G506" s="75"/>
    </row>
    <row r="507" spans="1:7" x14ac:dyDescent="0.25">
      <c r="A507" s="265" t="s">
        <v>2005</v>
      </c>
      <c r="B507" s="265" t="s">
        <v>1054</v>
      </c>
      <c r="C507" s="265" t="s">
        <v>1054</v>
      </c>
      <c r="D507" s="265" t="s">
        <v>1054</v>
      </c>
      <c r="E507" s="265">
        <v>9999</v>
      </c>
      <c r="F507" s="265">
        <v>0</v>
      </c>
      <c r="G507" s="75"/>
    </row>
    <row r="508" spans="1:7" x14ac:dyDescent="0.25">
      <c r="A508" s="265" t="s">
        <v>2005</v>
      </c>
      <c r="B508" s="265" t="s">
        <v>1054</v>
      </c>
      <c r="C508" s="265" t="s">
        <v>1054</v>
      </c>
      <c r="D508" s="265" t="s">
        <v>1054</v>
      </c>
      <c r="E508" s="265">
        <v>9999</v>
      </c>
      <c r="F508" s="265">
        <v>0</v>
      </c>
      <c r="G508" s="75"/>
    </row>
    <row r="509" spans="1:7" x14ac:dyDescent="0.25">
      <c r="A509" s="265" t="s">
        <v>2005</v>
      </c>
      <c r="B509" s="265" t="s">
        <v>1054</v>
      </c>
      <c r="C509" s="265" t="s">
        <v>1054</v>
      </c>
      <c r="D509" s="265" t="s">
        <v>1054</v>
      </c>
      <c r="E509" s="265">
        <v>9999</v>
      </c>
      <c r="F509" s="265">
        <v>0</v>
      </c>
      <c r="G509" s="75"/>
    </row>
    <row r="510" spans="1:7" x14ac:dyDescent="0.25">
      <c r="A510" s="265" t="s">
        <v>2005</v>
      </c>
      <c r="B510" s="265" t="s">
        <v>1054</v>
      </c>
      <c r="C510" s="265" t="s">
        <v>1054</v>
      </c>
      <c r="D510" s="265" t="s">
        <v>1054</v>
      </c>
      <c r="E510" s="265">
        <v>9999</v>
      </c>
      <c r="F510" s="265">
        <v>0</v>
      </c>
      <c r="G510" s="75"/>
    </row>
    <row r="511" spans="1:7" x14ac:dyDescent="0.25">
      <c r="A511" s="265" t="s">
        <v>2005</v>
      </c>
      <c r="B511" s="265" t="s">
        <v>1054</v>
      </c>
      <c r="C511" s="265" t="s">
        <v>1054</v>
      </c>
      <c r="D511" s="265" t="s">
        <v>1054</v>
      </c>
      <c r="E511" s="265">
        <v>9999</v>
      </c>
      <c r="F511" s="265">
        <v>0</v>
      </c>
      <c r="G511" s="75"/>
    </row>
    <row r="512" spans="1:7" x14ac:dyDescent="0.25">
      <c r="A512" s="265" t="s">
        <v>2005</v>
      </c>
      <c r="B512" s="265" t="s">
        <v>1054</v>
      </c>
      <c r="C512" s="265" t="s">
        <v>1054</v>
      </c>
      <c r="D512" s="265" t="s">
        <v>1054</v>
      </c>
      <c r="E512" s="265">
        <v>9999</v>
      </c>
      <c r="F512" s="265">
        <v>0</v>
      </c>
      <c r="G512" s="75"/>
    </row>
    <row r="513" spans="1:7" x14ac:dyDescent="0.25">
      <c r="A513" s="265" t="s">
        <v>2005</v>
      </c>
      <c r="B513" s="265" t="s">
        <v>1054</v>
      </c>
      <c r="C513" s="265" t="s">
        <v>1054</v>
      </c>
      <c r="D513" s="265" t="s">
        <v>1054</v>
      </c>
      <c r="E513" s="265">
        <v>9999</v>
      </c>
      <c r="F513" s="265">
        <v>0</v>
      </c>
      <c r="G513" s="75"/>
    </row>
    <row r="514" spans="1:7" x14ac:dyDescent="0.25">
      <c r="A514" s="265" t="s">
        <v>2005</v>
      </c>
      <c r="B514" s="265" t="s">
        <v>1054</v>
      </c>
      <c r="C514" s="265" t="s">
        <v>1054</v>
      </c>
      <c r="D514" s="265" t="s">
        <v>1054</v>
      </c>
      <c r="E514" s="265">
        <v>9999</v>
      </c>
      <c r="F514" s="265">
        <v>0</v>
      </c>
      <c r="G514" s="75"/>
    </row>
    <row r="515" spans="1:7" x14ac:dyDescent="0.25">
      <c r="A515" s="477">
        <v>16068</v>
      </c>
      <c r="B515" s="477" t="s">
        <v>1706</v>
      </c>
      <c r="C515" s="477" t="s">
        <v>371</v>
      </c>
      <c r="D515" s="477" t="s">
        <v>1441</v>
      </c>
      <c r="E515" s="477">
        <v>906</v>
      </c>
      <c r="F515" s="477">
        <v>0</v>
      </c>
      <c r="G515" s="75"/>
    </row>
    <row r="516" spans="1:7" x14ac:dyDescent="0.25">
      <c r="A516" s="477">
        <v>16137</v>
      </c>
      <c r="B516" s="477" t="s">
        <v>1743</v>
      </c>
      <c r="C516" s="477" t="s">
        <v>1744</v>
      </c>
      <c r="D516" s="477" t="s">
        <v>1169</v>
      </c>
      <c r="E516" s="477">
        <v>849</v>
      </c>
      <c r="F516" s="477">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algorithmName="SHA-512" hashValue="87DWwSoNcGtQyPDf6jcji1SZBjHpSZmQxYsD+/xXT5Hk4AmSyD0pvFhv1sWYWRRWUmUAykSIT35HnP2Ji59YXw==" saltValue="0nxzHx2NyTwaGkFsQXy0zA==" spinCount="100000" sheet="1" objects="1" scenarios="1"/>
  <sortState ref="A5:F516">
    <sortCondition descending="1" ref="F5"/>
    <sortCondition descending="1" ref="E5"/>
    <sortCondition descending="1" ref="B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740</v>
      </c>
      <c r="E1" s="1" t="s">
        <v>741</v>
      </c>
      <c r="F1" s="1" t="s">
        <v>742</v>
      </c>
      <c r="G1" t="s">
        <v>1056</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880</v>
      </c>
      <c r="B2" s="8" t="s">
        <v>891</v>
      </c>
      <c r="C2" s="8" t="s">
        <v>890</v>
      </c>
      <c r="D2" s="8" t="s">
        <v>1042</v>
      </c>
      <c r="E2" s="14">
        <f>Start.listina!O7</f>
        <v>26</v>
      </c>
      <c r="F2" s="14">
        <f>IF(MOD($E$2,2)&gt;0,0,1)</f>
        <v>1</v>
      </c>
      <c r="G2" s="14">
        <f>E2*2</f>
        <v>52</v>
      </c>
      <c r="H2" s="294" t="s">
        <v>921</v>
      </c>
      <c r="I2" s="8" t="s">
        <v>784</v>
      </c>
      <c r="K2" s="251" t="s">
        <v>785</v>
      </c>
      <c r="L2" s="252">
        <v>2</v>
      </c>
      <c r="M2" s="252"/>
      <c r="N2" s="252">
        <v>1</v>
      </c>
      <c r="O2" s="252"/>
      <c r="P2" s="252" t="s">
        <v>786</v>
      </c>
      <c r="Q2" s="252"/>
      <c r="R2" s="251" t="s">
        <v>787</v>
      </c>
      <c r="S2" s="252"/>
      <c r="T2" s="252"/>
      <c r="V2" s="251" t="s">
        <v>788</v>
      </c>
      <c r="W2" s="252">
        <v>4</v>
      </c>
      <c r="X2" s="252"/>
      <c r="Y2" s="252">
        <v>2</v>
      </c>
      <c r="Z2" s="252"/>
      <c r="AA2" s="252">
        <v>1</v>
      </c>
      <c r="AB2" s="252"/>
      <c r="AC2" s="252" t="s">
        <v>786</v>
      </c>
      <c r="AD2" s="253" t="s">
        <v>789</v>
      </c>
      <c r="AE2" s="252"/>
      <c r="AF2" s="252"/>
      <c r="AH2" s="251" t="s">
        <v>790</v>
      </c>
      <c r="AI2" s="252">
        <v>8</v>
      </c>
      <c r="AJ2" s="252"/>
      <c r="AK2" s="252">
        <v>4</v>
      </c>
      <c r="AL2" s="252"/>
      <c r="AM2" s="252">
        <v>2</v>
      </c>
      <c r="AN2" s="252"/>
      <c r="AO2" s="252">
        <v>1</v>
      </c>
      <c r="AP2" s="252"/>
      <c r="AQ2" s="252" t="s">
        <v>786</v>
      </c>
      <c r="AR2" s="252"/>
      <c r="AS2" s="251" t="s">
        <v>791</v>
      </c>
      <c r="AT2" s="252">
        <v>16</v>
      </c>
      <c r="AU2" s="252"/>
      <c r="AV2" s="252">
        <v>8</v>
      </c>
      <c r="AW2" s="252"/>
      <c r="AX2" s="252">
        <v>4</v>
      </c>
      <c r="AY2" s="252"/>
      <c r="AZ2" s="252">
        <v>2</v>
      </c>
      <c r="BA2" s="252"/>
      <c r="BB2" s="252">
        <v>1</v>
      </c>
      <c r="BC2" s="252"/>
      <c r="BD2" s="252" t="s">
        <v>786</v>
      </c>
      <c r="BE2" s="252"/>
      <c r="BF2" s="251" t="s">
        <v>792</v>
      </c>
      <c r="BG2" s="252">
        <v>32</v>
      </c>
      <c r="BH2" s="252"/>
      <c r="BI2" s="252">
        <v>16</v>
      </c>
      <c r="BJ2" s="252"/>
      <c r="BK2" s="252">
        <v>8</v>
      </c>
      <c r="BL2" s="252"/>
      <c r="BM2" s="252">
        <v>4</v>
      </c>
      <c r="BN2" s="252"/>
      <c r="BO2" s="252">
        <v>2</v>
      </c>
      <c r="BP2" s="252"/>
      <c r="BQ2" s="252">
        <v>1</v>
      </c>
      <c r="BR2" s="252" t="s">
        <v>786</v>
      </c>
      <c r="BS2" s="252"/>
    </row>
    <row r="3" spans="1:71" x14ac:dyDescent="0.25">
      <c r="A3" s="1">
        <v>1</v>
      </c>
      <c r="B3" s="42" t="str">
        <f ca="1">IF(E3&gt;$G$2," - ",D3)</f>
        <v>6 SK Sahara Vědomice - Demčíková Jiřina</v>
      </c>
      <c r="C3" s="43">
        <f ca="1">IF(H3&gt;=IF(N(Start.listina!$Y$3)=0,1,Start.listina!$Y$3),IF(A3&lt;=IF(N(Start.listina!$Y$4)=0,Start.listina!$K$7,Start.listina!$Y$4),Centrum!$V3,""),"")</f>
        <v>6</v>
      </c>
      <c r="D3" s="42" t="str">
        <f ca="1">IF(TYPE(VLOOKUP(C3,Centrum!$A$3:$C$130,3,0))&gt;3," -",VLOOKUP(C3,Centrum!$A$3:$C$130,3,0))</f>
        <v>6 SK Sahara Vědomice - Demčíková Jiřina</v>
      </c>
      <c r="E3" s="1">
        <v>1</v>
      </c>
      <c r="F3">
        <f t="shared" ref="F3:F66" si="0">IF(E3&gt;$E$2,IF($F$2&gt;0,IF(MOD(E3,2)=0,-1,1),0),0)</f>
        <v>0</v>
      </c>
      <c r="H3" s="1">
        <f ca="1">Centrum!$Y3</f>
        <v>4</v>
      </c>
      <c r="I3" s="254" t="str">
        <f ca="1">IF(OR(TRIM(N3)="-",TRIM(N3)="")," ",N3)</f>
        <v>7 PC Kolová - Kacerovský Ivo</v>
      </c>
      <c r="L3" s="254" t="str">
        <f ca="1">VLOOKUP($A3,'KO4'!$G$6:$H$7,2,0)</f>
        <v>7 PC Kolová - Kacerovský Ivo</v>
      </c>
      <c r="N3" s="254" t="str">
        <f ca="1">VLOOKUP($A3,'KO4'!$K$6:$L$7,2,0)</f>
        <v>7 PC Kolová - Kacerovský Ivo</v>
      </c>
      <c r="W3" s="254" t="str">
        <f ca="1">VLOOKUP($A3,'KO8'!$G$6:$H$15,2,0)</f>
        <v>7 PC Kolová - Kacerovský Ivo</v>
      </c>
      <c r="X3" s="247">
        <f>VLOOKUP($A3,'KO8'!$G$6:$I$15,3,0)</f>
        <v>13</v>
      </c>
      <c r="Y3" s="254" t="str">
        <f ca="1">VLOOKUP($A3,'KO8'!$K$10:$L$11,2,0)</f>
        <v>7 PC Kolová - Kacerovský Ivo</v>
      </c>
      <c r="Z3" s="247">
        <f>VLOOKUP($A3,'KO8'!$K$10:$M$11,3,0)</f>
        <v>13</v>
      </c>
      <c r="AA3" s="254" t="str">
        <f ca="1">VLOOKUP($A3,'KO8'!$O$10:$P$11,2,0)</f>
        <v>7 PC Kolová - Kacerovský Ivo</v>
      </c>
      <c r="AI3" s="254" t="str">
        <f ca="1">VLOOKUP($A3,'KO16'!$G$6:$H$31,2,0)</f>
        <v>6 SK Sahara Vědomice - Demčíková Jiřina</v>
      </c>
      <c r="AJ3" s="247">
        <f>VLOOKUP($A3,'KO16'!$G$6:$I$31,3,0)</f>
        <v>6</v>
      </c>
      <c r="AK3" s="254" t="str">
        <f ca="1">VLOOKUP($A3,'KO16'!$K$10:$L$27,2,0)</f>
        <v>7 PC Kolová - Kacerovský Ivo</v>
      </c>
      <c r="AL3" s="247">
        <f>VLOOKUP($A3,'KO16'!$K$10:$M$27,3,0)</f>
        <v>13</v>
      </c>
      <c r="AM3" s="254" t="str">
        <f ca="1">VLOOKUP($A3,'KO16'!$O$18:$P$19,2,0)</f>
        <v>7 PC Kolová - Kacerovský Ivo</v>
      </c>
      <c r="AN3" s="247">
        <f>VLOOKUP($A3,'KO16'!$O$18:$Q$19,3,0)</f>
        <v>13</v>
      </c>
      <c r="AO3" s="254" t="str">
        <f ca="1">VLOOKUP($A3,'KO16'!$S$18:$T$19,2,0)</f>
        <v>7 PC Kolová - Kacerovský Ivo</v>
      </c>
      <c r="AT3" s="254" t="str">
        <f ca="1">VLOOKUP($A3,'KO32'!$G$6:$H$63,2,0)</f>
        <v>6 SK Sahara Vědomice - Demčíková Jiřina</v>
      </c>
      <c r="AU3" s="247" t="str">
        <f>VLOOKUP($A3,'KO32'!$G$6:$I$63,3,0)</f>
        <v/>
      </c>
      <c r="AV3" s="254" t="str">
        <f ca="1">VLOOKUP($A3,'KO32'!$K$10:$L$59,2,0)</f>
        <v xml:space="preserve"> </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6 SK Sahara Vědomice - Demčíková Jiřina</v>
      </c>
      <c r="BH3" s="247">
        <f>VLOOKUP($A3,'KO64'!$G$6:$I$127,3,0)</f>
        <v>0</v>
      </c>
      <c r="BI3" s="254" t="str">
        <f ca="1">VLOOKUP($A3,'KO64'!$K$10:$L$123,2,0)</f>
        <v>6 SK Sahara Vědomice - Demčíková Jiřina</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2 PC Sokol Lipník - Fafek Petr</v>
      </c>
      <c r="C4" s="43">
        <f ca="1">IF(H4&gt;=IF(N(Start.listina!$Y$3)=0,1,Start.listina!$Y$3),IF(A4&lt;=IF(N(Start.listina!$Y$4)=0,Start.listina!$K$7,Start.listina!$Y$4),Centrum!$V4,""),"")</f>
        <v>2</v>
      </c>
      <c r="D4" s="42" t="str">
        <f ca="1">IF(TYPE(VLOOKUP(C4,Centrum!$A$3:$C$130,3,0))&gt;3," -",VLOOKUP(C4,Centrum!$A$3:$C$130,3,0))</f>
        <v>2 PC Sokol Lipník - Fafek Petr</v>
      </c>
      <c r="E4" s="1">
        <v>2</v>
      </c>
      <c r="F4">
        <f t="shared" si="0"/>
        <v>0</v>
      </c>
      <c r="H4" s="1">
        <f ca="1">Centrum!$Y4</f>
        <v>4</v>
      </c>
      <c r="I4" s="254" t="str">
        <f ca="1">IF(OR(TRIM(N4)="-",TRIM(N4)="")," ",N4)</f>
        <v>2 PC Sokol Lipník - Fafek Petr</v>
      </c>
      <c r="L4" s="254" t="str">
        <f ca="1">VLOOKUP($A4,'KO4'!$G$6:$H$7,2,0)</f>
        <v>2 PC Sokol Lipník - Fafek Petr</v>
      </c>
      <c r="N4" s="254" t="str">
        <f ca="1">VLOOKUP($A4,'KO4'!$K$6:$L$7,2,0)</f>
        <v>2 PC Sokol Lipník - Fafek Petr</v>
      </c>
      <c r="W4" s="254" t="str">
        <f ca="1">VLOOKUP($A4,'KO8'!$G$6:$H$15,2,0)</f>
        <v>2 PC Sokol Lipník - Fafek Petr</v>
      </c>
      <c r="X4" s="247">
        <f>VLOOKUP($A4,'KO8'!$G$6:$I$15,3,0)</f>
        <v>13</v>
      </c>
      <c r="Y4" s="254" t="str">
        <f ca="1">VLOOKUP($A4,'KO8'!$K$10:$L$11,2,0)</f>
        <v>2 PC Sokol Lipník - Fafek Petr</v>
      </c>
      <c r="Z4" s="247">
        <f>VLOOKUP($A4,'KO8'!$K$10:$M$11,3,0)</f>
        <v>6</v>
      </c>
      <c r="AA4" s="254" t="str">
        <f ca="1">VLOOKUP($A4,'KO8'!$O$10:$P$11,2,0)</f>
        <v>2 PC Sokol Lipník - Fafek Petr</v>
      </c>
      <c r="AI4" s="254" t="str">
        <f ca="1">VLOOKUP($A4,'KO16'!$G$6:$H$31,2,0)</f>
        <v>2 PC Sokol Lipník - Fafek Petr</v>
      </c>
      <c r="AJ4" s="247">
        <f>VLOOKUP($A4,'KO16'!$G$6:$I$31,3,0)</f>
        <v>13</v>
      </c>
      <c r="AK4" s="254" t="str">
        <f ca="1">VLOOKUP($A4,'KO16'!$K$10:$L$27,2,0)</f>
        <v>2 PC Sokol Lipník - Fafek Petr</v>
      </c>
      <c r="AL4" s="247">
        <f>VLOOKUP($A4,'KO16'!$K$10:$M$27,3,0)</f>
        <v>13</v>
      </c>
      <c r="AM4" s="254" t="str">
        <f ca="1">VLOOKUP($A4,'KO16'!$O$18:$P$19,2,0)</f>
        <v>2 PC Sokol Lipník - Fafek Petr</v>
      </c>
      <c r="AN4" s="247">
        <f>VLOOKUP($A4,'KO16'!$O$18:$Q$19,3,0)</f>
        <v>6</v>
      </c>
      <c r="AO4" s="254" t="str">
        <f ca="1">VLOOKUP($A4,'KO16'!$S$18:$T$19,2,0)</f>
        <v>2 PC Sokol Lipník - Fafek Petr</v>
      </c>
      <c r="AT4" s="254" t="str">
        <f ca="1">VLOOKUP($A4,'KO32'!$G$6:$H$63,2,0)</f>
        <v>2 PC Sokol Lipník - Fafek Petr</v>
      </c>
      <c r="AU4" s="247" t="str">
        <f>VLOOKUP($A4,'KO32'!$G$6:$I$63,3,0)</f>
        <v/>
      </c>
      <c r="AV4" s="254" t="str">
        <f ca="1">VLOOKUP($A4,'KO32'!$K$10:$L$59,2,0)</f>
        <v xml:space="preserve"> </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2 PC Sokol Lipník - Fafek Petr</v>
      </c>
      <c r="BH4" s="247">
        <f>VLOOKUP($A4,'KO64'!$G$6:$I$127,3,0)</f>
        <v>0</v>
      </c>
      <c r="BI4" s="254" t="str">
        <f ca="1">VLOOKUP($A4,'KO64'!$K$10:$L$123,2,0)</f>
        <v>2 PC Sokol Lipník - Fafek Petr</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11 PC Sokol Lipník - Froňková Blanka</v>
      </c>
      <c r="C5" s="43">
        <f ca="1">IF(H5&gt;=IF(N(Start.listina!$Y$3)=0,1,Start.listina!$Y$3),IF(A5&lt;=IF(N(Start.listina!$Y$4)=0,Start.listina!$K$7,Start.listina!$Y$4),Centrum!$V5,""),"")</f>
        <v>11</v>
      </c>
      <c r="D5" s="42" t="str">
        <f ca="1">IF(TYPE(VLOOKUP(C5,Centrum!$A$3:$C$130,3,0))&gt;3," -",VLOOKUP(C5,Centrum!$A$3:$C$130,3,0))</f>
        <v>11 PC Sokol Lipník - Froňková Blanka</v>
      </c>
      <c r="E5" s="1">
        <v>3</v>
      </c>
      <c r="F5">
        <f t="shared" si="0"/>
        <v>0</v>
      </c>
      <c r="H5" s="1">
        <f ca="1">Centrum!$Y5</f>
        <v>4</v>
      </c>
      <c r="I5" s="254" t="str">
        <f ca="1">IF(OR(TRIM(P5)="-",TRIM(P5)="")," ",P5)</f>
        <v>22 UBU Únětice - Palas Pavel</v>
      </c>
      <c r="P5" s="254" t="str">
        <f ca="1">VLOOKUP($A5,'KO4'!$K$16:$L$17,2,0)</f>
        <v>22 UBU Únětice - Palas Pavel</v>
      </c>
      <c r="W5" s="254" t="str">
        <f ca="1">VLOOKUP($A5,'KO8'!$G$6:$H$15,2,0)</f>
        <v>22 UBU Únětice - Palas Pavel</v>
      </c>
      <c r="X5" s="247">
        <f>VLOOKUP($A5,'KO8'!$G$6:$I$15,3,0)</f>
        <v>6</v>
      </c>
      <c r="Y5" s="254" t="str">
        <f ca="1">VLOOKUP($A5,'KO8'!$K$10:$L$21,2,0)</f>
        <v>22 UBU Únětice - Palas Pavel</v>
      </c>
      <c r="Z5" s="247">
        <f>VLOOKUP($A5,'KO8'!$K$10:$M$21,3,0)</f>
        <v>13</v>
      </c>
      <c r="AA5" s="254" t="str">
        <f ca="1">VLOOKUP($A5,'KO8'!$O$10:$P$21,2,0)</f>
        <v>22 UBU Únětice - Palas Pavel</v>
      </c>
      <c r="AC5" s="254" t="str">
        <f ca="1">VLOOKUP($A5,'KO8'!$O$20:$P$21,2,0)</f>
        <v>22 UBU Únětice - Palas Pavel</v>
      </c>
      <c r="AI5" s="254" t="str">
        <f ca="1">VLOOKUP($A5,'KO16'!$G$6:$H$31,2,0)</f>
        <v>11 PC Sokol Lipník - Froňková Blanka</v>
      </c>
      <c r="AJ5" s="247">
        <f>VLOOKUP($A5,'KO16'!$G$6:$I$31,3,0)</f>
        <v>6</v>
      </c>
      <c r="AK5" s="254" t="str">
        <f ca="1">VLOOKUP($A5,'KO16'!$K$10:$L$27,2,0)</f>
        <v>22 UBU Únětice - Palas Pavel</v>
      </c>
      <c r="AL5" s="247">
        <f>VLOOKUP($A5,'KO16'!$K$10:$M$27,3,0)</f>
        <v>6</v>
      </c>
      <c r="AM5" s="254" t="str">
        <f ca="1">VLOOKUP($A5,'KO16'!$O$18:$P$33,2,0)</f>
        <v>22 UBU Únětice - Palas Pavel</v>
      </c>
      <c r="AN5" s="247">
        <f>VLOOKUP($A5,'KO16'!$O$18:$Q$33,3,0)</f>
        <v>13</v>
      </c>
      <c r="AQ5" s="254" t="str">
        <f ca="1">VLOOKUP($A5,'KO16'!$S$32:$T$33,2,0)</f>
        <v>22 UBU Únětice - Palas Pavel</v>
      </c>
      <c r="AT5" s="254" t="str">
        <f ca="1">VLOOKUP($A5,'KO32'!$G$6:$H$63,2,0)</f>
        <v>11 PC Sokol Lipník - Froňková Blanka</v>
      </c>
      <c r="AU5" s="247" t="str">
        <f>VLOOKUP($A5,'KO32'!$G$6:$I$63,3,0)</f>
        <v/>
      </c>
      <c r="AV5" s="254" t="str">
        <f ca="1">VLOOKUP($A5,'KO32'!$K$10:$L$59,2,0)</f>
        <v xml:space="preserve"> </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11 PC Sokol Lipník - Froňková Blanka</v>
      </c>
      <c r="BH5" s="247">
        <f>VLOOKUP($A5,'KO64'!$G$6:$I$127,3,0)</f>
        <v>0</v>
      </c>
      <c r="BI5" s="254" t="str">
        <f ca="1">VLOOKUP($A5,'KO64'!$K$10:$L$123,2,0)</f>
        <v>11 PC Sokol Lipník - Froňková Blanka</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19 Petank Club Praha - Vorel Jan</v>
      </c>
      <c r="C6" s="43">
        <f ca="1">IF(H6&gt;=IF(N(Start.listina!$Y$3)=0,1,Start.listina!$Y$3),IF(A6&lt;=IF(N(Start.listina!$Y$4)=0,Start.listina!$K$7,Start.listina!$Y$4),Centrum!$V6,""),"")</f>
        <v>19</v>
      </c>
      <c r="D6" s="42" t="str">
        <f ca="1">IF(TYPE(VLOOKUP(C6,Centrum!$A$3:$C$130,3,0))&gt;3," -",VLOOKUP(C6,Centrum!$A$3:$C$130,3,0))</f>
        <v>19 Petank Club Praha - Vorel Jan</v>
      </c>
      <c r="E6" s="1">
        <v>4</v>
      </c>
      <c r="F6">
        <f t="shared" si="0"/>
        <v>0</v>
      </c>
      <c r="H6" s="1">
        <f ca="1">Centrum!$Y6</f>
        <v>3</v>
      </c>
      <c r="I6" s="254" t="str">
        <f ca="1">IF(OR(TRIM(P6)="-",TRIM(P6)="")," ",P6)</f>
        <v>3 Petank Club Praha - Klír Tomáš</v>
      </c>
      <c r="P6" s="254" t="str">
        <f ca="1">VLOOKUP($A6,'KO4'!$K$16:$L$17,2,0)</f>
        <v>3 Petank Club Praha - Klír Tomáš</v>
      </c>
      <c r="W6" s="254" t="str">
        <f ca="1">VLOOKUP($A6,'KO8'!$G$6:$H$15,2,0)</f>
        <v>3 Petank Club Praha - Klír Tomáš</v>
      </c>
      <c r="X6" s="247">
        <f>VLOOKUP($A6,'KO8'!$G$6:$I$15,3,0)</f>
        <v>6</v>
      </c>
      <c r="Y6" s="254" t="str">
        <f ca="1">VLOOKUP($A6,'KO8'!$K$10:$L$21,2,0)</f>
        <v>3 Petank Club Praha - Klír Tomáš</v>
      </c>
      <c r="Z6" s="247">
        <f>VLOOKUP($A6,'KO8'!$K$10:$M$21,3,0)</f>
        <v>6</v>
      </c>
      <c r="AA6" s="254" t="str">
        <f ca="1">VLOOKUP($A6,'KO8'!$O$10:$P$21,2,0)</f>
        <v>3 Petank Club Praha - Klír Tomáš</v>
      </c>
      <c r="AC6" s="254" t="str">
        <f ca="1">VLOOKUP($A6,'KO8'!$O$20:$P$21,2,0)</f>
        <v>3 Petank Club Praha - Klír Tomáš</v>
      </c>
      <c r="AI6" s="254" t="str">
        <f ca="1">VLOOKUP($A6,'KO16'!$G$6:$H$31,2,0)</f>
        <v>16 FRAPECO - Felčárek Jaroslav</v>
      </c>
      <c r="AJ6" s="247">
        <f>VLOOKUP($A6,'KO16'!$G$6:$I$31,3,0)</f>
        <v>6</v>
      </c>
      <c r="AK6" s="254" t="str">
        <f ca="1">VLOOKUP($A6,'KO16'!$K$10:$L$27,2,0)</f>
        <v>3 Petank Club Praha - Klír Tomáš</v>
      </c>
      <c r="AL6" s="247">
        <f>VLOOKUP($A6,'KO16'!$K$10:$M$27,3,0)</f>
        <v>6</v>
      </c>
      <c r="AM6" s="254" t="str">
        <f ca="1">VLOOKUP($A6,'KO16'!$O$18:$P$33,2,0)</f>
        <v>3 Petank Club Praha - Klír Tomáš</v>
      </c>
      <c r="AN6" s="247">
        <f>VLOOKUP($A6,'KO16'!$O$18:$Q$33,3,0)</f>
        <v>6</v>
      </c>
      <c r="AQ6" s="254" t="str">
        <f ca="1">VLOOKUP($A6,'KO16'!$S$32:$T$33,2,0)</f>
        <v>3 Petank Club Praha - Klír Tomáš</v>
      </c>
      <c r="AT6" s="254" t="str">
        <f ca="1">VLOOKUP($A6,'KO32'!$G$6:$H$63,2,0)</f>
        <v>19 Petank Club Praha - Vorel Jan</v>
      </c>
      <c r="AU6" s="247" t="str">
        <f>VLOOKUP($A6,'KO32'!$G$6:$I$63,3,0)</f>
        <v/>
      </c>
      <c r="AV6" s="254" t="str">
        <f ca="1">VLOOKUP($A6,'KO32'!$K$10:$L$59,2,0)</f>
        <v xml:space="preserve"> </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19 Petank Club Praha - Vorel Jan</v>
      </c>
      <c r="BH6" s="247">
        <f>VLOOKUP($A6,'KO64'!$G$6:$I$127,3,0)</f>
        <v>0</v>
      </c>
      <c r="BI6" s="254" t="str">
        <f ca="1">VLOOKUP($A6,'KO64'!$K$10:$L$123,2,0)</f>
        <v>19 Petank Club Praha - Vorel Jan</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45 Spolek Park Grébovka - Kremlík Miroslav</v>
      </c>
      <c r="C7" s="43">
        <f ca="1">IF(H7&gt;=IF(N(Start.listina!$Y$3)=0,1,Start.listina!$Y$3),IF(A7&lt;=IF(N(Start.listina!$Y$4)=0,Start.listina!$K$7,Start.listina!$Y$4),Centrum!$V7,""),"")</f>
        <v>45</v>
      </c>
      <c r="D7" s="42" t="str">
        <f ca="1">IF(TYPE(VLOOKUP(C7,Centrum!$A$3:$C$130,3,0))&gt;3," -",VLOOKUP(C7,Centrum!$A$3:$C$130,3,0))</f>
        <v>45 Spolek Park Grébovka - Kremlík Miroslav</v>
      </c>
      <c r="E7" s="1">
        <v>5</v>
      </c>
      <c r="F7">
        <f t="shared" si="0"/>
        <v>0</v>
      </c>
      <c r="H7" s="1">
        <f ca="1">Centrum!$Y7</f>
        <v>3</v>
      </c>
      <c r="I7" s="254" t="str">
        <f ca="1">IF(OR(TRIM(S7)="-",TRIM(S7)="")," ",S7)</f>
        <v>6 SK Sahara Vědomice - Demčíková Jiřina</v>
      </c>
      <c r="S7" s="254" t="str">
        <f ca="1">VLOOKUP($A7,'Dohrávka_5-8'!$K$6:$L$13,2,0)</f>
        <v>6 SK Sahara Vědomice - Demčíková Jiřina</v>
      </c>
      <c r="AI7" s="254" t="str">
        <f ca="1">VLOOKUP($A7,'KO16'!$G$6:$H$31,2,0)</f>
        <v>3 Petank Club Praha - Klír Tomáš</v>
      </c>
      <c r="AJ7" s="247">
        <f>VLOOKUP($A7,'KO16'!$G$6:$I$31,3,0)</f>
        <v>13</v>
      </c>
      <c r="AT7" s="254" t="str">
        <f ca="1">VLOOKUP($A7,'KO32'!$G$6:$H$63,2,0)</f>
        <v>45 Spolek Park Grébovka - Kremlík Miroslav</v>
      </c>
      <c r="AU7" s="247" t="str">
        <f>VLOOKUP($A7,'KO32'!$G$6:$I$63,3,0)</f>
        <v/>
      </c>
      <c r="AV7" s="254" t="str">
        <f ca="1">VLOOKUP($A7,'KO32'!$K$10:$L$59,2,0)</f>
        <v xml:space="preserve"> </v>
      </c>
      <c r="AW7" s="247" t="str">
        <f>VLOOKUP($A7,'KO32'!$K$10:$M$59,3,0)</f>
        <v/>
      </c>
      <c r="BG7" s="254" t="str">
        <f ca="1">VLOOKUP($A7,'KO64'!$G$6:$H$127,2,0)</f>
        <v>45 Spolek Park Grébovka - Kremlík Miroslav</v>
      </c>
      <c r="BH7" s="247">
        <f>VLOOKUP($A7,'KO64'!$G$6:$I$127,3,0)</f>
        <v>0</v>
      </c>
      <c r="BI7" s="254" t="str">
        <f ca="1">VLOOKUP($A7,'KO64'!$K$10:$L$123,2,0)</f>
        <v>45 Spolek Park Grébovka - Kremlík Miroslav</v>
      </c>
      <c r="BJ7" s="247">
        <f>VLOOKUP($A7,'KO64'!$K$10:$M$123,3,0)</f>
        <v>0</v>
      </c>
      <c r="BK7" s="254" t="str">
        <f ca="1">VLOOKUP($A7,'KO64'!$O$18:$P$115,2,0)</f>
        <v xml:space="preserve"> </v>
      </c>
      <c r="BL7" s="247">
        <f>VLOOKUP($A7,'KO64'!$O$18:$Q$115,3,0)</f>
        <v>0</v>
      </c>
    </row>
    <row r="8" spans="1:71" x14ac:dyDescent="0.25">
      <c r="A8" s="1">
        <v>6</v>
      </c>
      <c r="B8" s="42" t="str">
        <f t="shared" ca="1" si="1"/>
        <v>22 UBU Únětice - Palas Pavel</v>
      </c>
      <c r="C8" s="43">
        <f ca="1">IF(H8&gt;=IF(N(Start.listina!$Y$3)=0,1,Start.listina!$Y$3),IF(A8&lt;=IF(N(Start.listina!$Y$4)=0,Start.listina!$K$7,Start.listina!$Y$4),Centrum!$V8,""),"")</f>
        <v>22</v>
      </c>
      <c r="D8" s="42" t="str">
        <f ca="1">IF(TYPE(VLOOKUP(C8,Centrum!$A$3:$C$130,3,0))&gt;3," -",VLOOKUP(C8,Centrum!$A$3:$C$130,3,0))</f>
        <v>22 UBU Únětice - Palas Pavel</v>
      </c>
      <c r="E8" s="1">
        <v>6</v>
      </c>
      <c r="F8">
        <f t="shared" si="0"/>
        <v>0</v>
      </c>
      <c r="H8" s="1">
        <f ca="1">Centrum!$Y8</f>
        <v>3</v>
      </c>
      <c r="I8" s="254" t="str">
        <f ca="1">IF(OR(TRIM(S8)="-",TRIM(S8)="")," ",S8)</f>
        <v>11 PC Sokol Lipník - Froňková Blanka</v>
      </c>
      <c r="S8" s="254" t="str">
        <f ca="1">VLOOKUP($A8,'Dohrávka_5-8'!$K$6:$L$13,2,0)</f>
        <v>11 PC Sokol Lipník - Froňková Blanka</v>
      </c>
      <c r="AI8" s="254" t="str">
        <f ca="1">VLOOKUP($A8,'KO16'!$G$6:$H$31,2,0)</f>
        <v>22 UBU Únětice - Palas Pavel</v>
      </c>
      <c r="AJ8" s="247">
        <f>VLOOKUP($A8,'KO16'!$G$6:$I$31,3,0)</f>
        <v>13</v>
      </c>
      <c r="AT8" s="254" t="str">
        <f ca="1">VLOOKUP($A8,'KO32'!$G$6:$H$63,2,0)</f>
        <v>22 UBU Únětice - Palas Pavel</v>
      </c>
      <c r="AU8" s="247" t="str">
        <f>VLOOKUP($A8,'KO32'!$G$6:$I$63,3,0)</f>
        <v/>
      </c>
      <c r="AV8" s="254" t="str">
        <f ca="1">VLOOKUP($A8,'KO32'!$K$10:$L$59,2,0)</f>
        <v xml:space="preserve"> </v>
      </c>
      <c r="AW8" s="247" t="str">
        <f>VLOOKUP($A8,'KO32'!$K$10:$M$59,3,0)</f>
        <v/>
      </c>
      <c r="BG8" s="254" t="str">
        <f ca="1">VLOOKUP($A8,'KO64'!$G$6:$H$127,2,0)</f>
        <v>22 UBU Únětice - Palas Pavel</v>
      </c>
      <c r="BH8" s="247">
        <f>VLOOKUP($A8,'KO64'!$G$6:$I$127,3,0)</f>
        <v>0</v>
      </c>
      <c r="BI8" s="254" t="str">
        <f ca="1">VLOOKUP($A8,'KO64'!$K$10:$L$123,2,0)</f>
        <v>22 UBU Únětice - Palas Pavel</v>
      </c>
      <c r="BJ8" s="247">
        <f>VLOOKUP($A8,'KO64'!$K$10:$M$123,3,0)</f>
        <v>0</v>
      </c>
      <c r="BK8" s="254" t="str">
        <f ca="1">VLOOKUP($A8,'KO64'!$O$18:$P$115,2,0)</f>
        <v xml:space="preserve"> </v>
      </c>
      <c r="BL8" s="247">
        <f>VLOOKUP($A8,'KO64'!$O$18:$Q$115,3,0)</f>
        <v>0</v>
      </c>
    </row>
    <row r="9" spans="1:71" x14ac:dyDescent="0.25">
      <c r="A9" s="1">
        <v>7</v>
      </c>
      <c r="B9" s="42" t="str">
        <f t="shared" ca="1" si="1"/>
        <v>43 SK Španielka Řepy - Holoubek Pavel</v>
      </c>
      <c r="C9" s="43">
        <f ca="1">IF(H9&gt;=IF(N(Start.listina!$Y$3)=0,1,Start.listina!$Y$3),IF(A9&lt;=IF(N(Start.listina!$Y$4)=0,Start.listina!$K$7,Start.listina!$Y$4),Centrum!$V9,""),"")</f>
        <v>43</v>
      </c>
      <c r="D9" s="42" t="str">
        <f ca="1">IF(TYPE(VLOOKUP(C9,Centrum!$A$3:$C$130,3,0))&gt;3," -",VLOOKUP(C9,Centrum!$A$3:$C$130,3,0))</f>
        <v>43 SK Španielka Řepy - Holoubek Pavel</v>
      </c>
      <c r="E9" s="1">
        <v>7</v>
      </c>
      <c r="F9">
        <f t="shared" si="0"/>
        <v>0</v>
      </c>
      <c r="H9" s="1">
        <f ca="1">Centrum!$Y9</f>
        <v>3</v>
      </c>
      <c r="I9" s="254" t="str">
        <f ca="1">IF(OR(TRIM(S9)="-",TRIM(S9)="")," ",S9)</f>
        <v>20 Club Rodamiento - Dlouhá Ivana</v>
      </c>
      <c r="S9" s="254" t="str">
        <f ca="1">VLOOKUP($A9,'Dohrávka_5-8'!$K$6:$L$13,2,0)</f>
        <v>20 Club Rodamiento - Dlouhá Ivana</v>
      </c>
      <c r="AI9" s="254" t="str">
        <f ca="1">VLOOKUP($A9,'KO16'!$G$6:$H$31,2,0)</f>
        <v>20 Club Rodamiento - Dlouhá Ivana</v>
      </c>
      <c r="AJ9" s="247">
        <f>VLOOKUP($A9,'KO16'!$G$6:$I$31,3,0)</f>
        <v>6</v>
      </c>
      <c r="AT9" s="254" t="str">
        <f ca="1">VLOOKUP($A9,'KO32'!$G$6:$H$63,2,0)</f>
        <v>43 SK Španielka Řepy - Holoubek Pavel</v>
      </c>
      <c r="AU9" s="247" t="str">
        <f>VLOOKUP($A9,'KO32'!$G$6:$I$63,3,0)</f>
        <v/>
      </c>
      <c r="AV9" s="254" t="str">
        <f ca="1">VLOOKUP($A9,'KO32'!$K$10:$L$59,2,0)</f>
        <v xml:space="preserve"> </v>
      </c>
      <c r="AW9" s="247" t="str">
        <f>VLOOKUP($A9,'KO32'!$K$10:$M$59,3,0)</f>
        <v/>
      </c>
      <c r="BG9" s="254" t="str">
        <f ca="1">VLOOKUP($A9,'KO64'!$G$6:$H$127,2,0)</f>
        <v>43 SK Španielka Řepy - Holoubek Pavel</v>
      </c>
      <c r="BH9" s="247">
        <f>VLOOKUP($A9,'KO64'!$G$6:$I$127,3,0)</f>
        <v>0</v>
      </c>
      <c r="BI9" s="254" t="str">
        <f ca="1">VLOOKUP($A9,'KO64'!$K$10:$L$123,2,0)</f>
        <v>43 SK Španielka Řepy - Holoubek Pavel</v>
      </c>
      <c r="BJ9" s="247">
        <f>VLOOKUP($A9,'KO64'!$K$10:$M$123,3,0)</f>
        <v>0</v>
      </c>
      <c r="BK9" s="254" t="str">
        <f ca="1">VLOOKUP($A9,'KO64'!$O$18:$P$115,2,0)</f>
        <v xml:space="preserve"> </v>
      </c>
      <c r="BL9" s="247">
        <f>VLOOKUP($A9,'KO64'!$O$18:$Q$115,3,0)</f>
        <v>0</v>
      </c>
    </row>
    <row r="10" spans="1:71" x14ac:dyDescent="0.25">
      <c r="A10" s="1">
        <v>8</v>
      </c>
      <c r="B10" s="42" t="str">
        <f t="shared" ca="1" si="1"/>
        <v>9 PK Osika Plzeň - Mráz Václav</v>
      </c>
      <c r="C10" s="43">
        <f ca="1">IF(H10&gt;=IF(N(Start.listina!$Y$3)=0,1,Start.listina!$Y$3),IF(A10&lt;=IF(N(Start.listina!$Y$4)=0,Start.listina!$K$7,Start.listina!$Y$4),Centrum!$V10,""),"")</f>
        <v>9</v>
      </c>
      <c r="D10" s="42" t="str">
        <f ca="1">IF(TYPE(VLOOKUP(C10,Centrum!$A$3:$C$130,3,0))&gt;3," -",VLOOKUP(C10,Centrum!$A$3:$C$130,3,0))</f>
        <v>9 PK Osika Plzeň - Mráz Václav</v>
      </c>
      <c r="E10" s="1">
        <v>8</v>
      </c>
      <c r="F10">
        <f t="shared" si="0"/>
        <v>0</v>
      </c>
      <c r="H10" s="1">
        <f ca="1">Centrum!$Y10</f>
        <v>3</v>
      </c>
      <c r="I10" s="254" t="str">
        <f ca="1">IF(OR(TRIM(S10)="-",TRIM(S10)="")," ",S10)</f>
        <v>16 FRAPECO - Felčárek Jaroslav</v>
      </c>
      <c r="S10" s="254" t="str">
        <f ca="1">VLOOKUP($A10,'Dohrávka_5-8'!$K$6:$L$13,2,0)</f>
        <v>16 FRAPECO - Felčárek Jaroslav</v>
      </c>
      <c r="AI10" s="254" t="str">
        <f ca="1">VLOOKUP($A10,'KO16'!$G$6:$H$31,2,0)</f>
        <v>7 PC Kolová - Kacerovský Ivo</v>
      </c>
      <c r="AJ10" s="247">
        <f>VLOOKUP($A10,'KO16'!$G$6:$I$31,3,0)</f>
        <v>13</v>
      </c>
      <c r="AT10" s="254" t="str">
        <f ca="1">VLOOKUP($A10,'KO32'!$G$6:$H$63,2,0)</f>
        <v>9 PK Osika Plzeň - Mráz Václav</v>
      </c>
      <c r="AU10" s="247" t="str">
        <f>VLOOKUP($A10,'KO32'!$G$6:$I$63,3,0)</f>
        <v/>
      </c>
      <c r="AV10" s="254" t="str">
        <f ca="1">VLOOKUP($A10,'KO32'!$K$10:$L$59,2,0)</f>
        <v xml:space="preserve"> </v>
      </c>
      <c r="AW10" s="247" t="str">
        <f>VLOOKUP($A10,'KO32'!$K$10:$M$59,3,0)</f>
        <v/>
      </c>
      <c r="BG10" s="254" t="str">
        <f ca="1">VLOOKUP($A10,'KO64'!$G$6:$H$127,2,0)</f>
        <v>9 PK Osika Plzeň - Mráz Václav</v>
      </c>
      <c r="BH10" s="247">
        <f>VLOOKUP($A10,'KO64'!$G$6:$I$127,3,0)</f>
        <v>0</v>
      </c>
      <c r="BI10" s="254" t="str">
        <f ca="1">VLOOKUP($A10,'KO64'!$K$10:$L$123,2,0)</f>
        <v>9 PK Osika Plzeň - Mráz Václav</v>
      </c>
      <c r="BJ10" s="247">
        <f>VLOOKUP($A10,'KO64'!$K$10:$M$123,3,0)</f>
        <v>0</v>
      </c>
      <c r="BK10" s="254" t="str">
        <f ca="1">VLOOKUP($A10,'KO64'!$O$18:$P$115,2,0)</f>
        <v xml:space="preserve"> </v>
      </c>
      <c r="BL10" s="247">
        <f>VLOOKUP($A10,'KO64'!$O$18:$Q$115,3,0)</f>
        <v>0</v>
      </c>
    </row>
    <row r="11" spans="1:71" x14ac:dyDescent="0.25">
      <c r="A11" s="1">
        <v>9</v>
      </c>
      <c r="B11" s="42" t="str">
        <f t="shared" ca="1" si="1"/>
        <v>7 PC Kolová - Kacerovský Ivo</v>
      </c>
      <c r="C11" s="43">
        <f ca="1">IF(H11&gt;=IF(N(Start.listina!$Y$3)=0,1,Start.listina!$Y$3),IF(A11&lt;=IF(N(Start.listina!$Y$4)=0,Start.listina!$K$7,Start.listina!$Y$4),Centrum!$V11,""),"")</f>
        <v>7</v>
      </c>
      <c r="D11" s="42" t="str">
        <f ca="1">IF(TYPE(VLOOKUP(C11,Centrum!$A$3:$C$130,3,0))&gt;3," -",VLOOKUP(C11,Centrum!$A$3:$C$130,3,0))</f>
        <v>7 PC Kolová - Kacerovský Ivo</v>
      </c>
      <c r="E11" s="1">
        <v>9</v>
      </c>
      <c r="F11">
        <f t="shared" si="0"/>
        <v>0</v>
      </c>
      <c r="H11" s="1">
        <f ca="1">Centrum!$Y11</f>
        <v>3</v>
      </c>
      <c r="I11" s="254" t="str">
        <f ca="1">IF(OR(TRIM(AE11)="-",TRIM(AE11)="")," ",AE11)</f>
        <v>12 CdP Loděnice - Marhoul Jan</v>
      </c>
      <c r="AE11" s="254" t="str">
        <f ca="1">VLOOKUP($A11,'Dohrávka_9-16'!$O$10:$P$35,2,0)</f>
        <v>12 CdP Loděnice - Marhoul Jan</v>
      </c>
      <c r="AT11" s="254" t="str">
        <f ca="1">VLOOKUP($A11,'KO32'!$G$6:$H$63,2,0)</f>
        <v>7 PC Kolová - Kacerovský Ivo</v>
      </c>
      <c r="AU11" s="247" t="str">
        <f>VLOOKUP($A11,'KO32'!$G$6:$I$63,3,0)</f>
        <v/>
      </c>
      <c r="BG11" s="254" t="str">
        <f ca="1">VLOOKUP($A11,'KO64'!$G$6:$H$127,2,0)</f>
        <v>7 PC Kolová - Kacerovský Ivo</v>
      </c>
      <c r="BH11" s="247">
        <f>VLOOKUP($A11,'KO64'!$G$6:$I$127,3,0)</f>
        <v>0</v>
      </c>
      <c r="BI11" s="254" t="str">
        <f ca="1">VLOOKUP($A11,'KO64'!$K$10:$L$123,2,0)</f>
        <v>7 PC Kolová - Kacerovský Ivo</v>
      </c>
      <c r="BJ11" s="247">
        <f>VLOOKUP($A11,'KO64'!$K$10:$M$123,3,0)</f>
        <v>0</v>
      </c>
    </row>
    <row r="12" spans="1:71" x14ac:dyDescent="0.25">
      <c r="A12" s="1">
        <v>10</v>
      </c>
      <c r="B12" s="42" t="str">
        <f t="shared" ca="1" si="1"/>
        <v>20 Club Rodamiento - Dlouhá Ivana</v>
      </c>
      <c r="C12" s="43">
        <f ca="1">IF(H12&gt;=IF(N(Start.listina!$Y$3)=0,1,Start.listina!$Y$3),IF(A12&lt;=IF(N(Start.listina!$Y$4)=0,Start.listina!$K$7,Start.listina!$Y$4),Centrum!$V12,""),"")</f>
        <v>20</v>
      </c>
      <c r="D12" s="42" t="str">
        <f ca="1">IF(TYPE(VLOOKUP(C12,Centrum!$A$3:$C$130,3,0))&gt;3," -",VLOOKUP(C12,Centrum!$A$3:$C$130,3,0))</f>
        <v>20 Club Rodamiento - Dlouhá Ivana</v>
      </c>
      <c r="E12" s="1">
        <v>10</v>
      </c>
      <c r="F12">
        <f t="shared" si="0"/>
        <v>0</v>
      </c>
      <c r="H12" s="1">
        <f ca="1">Centrum!$Y12</f>
        <v>3</v>
      </c>
      <c r="I12" s="254" t="str">
        <f t="shared" ref="I12:I18" ca="1" si="2">IF(OR(TRIM(AE12)="-",TRIM(AE12)="")," ",AE12)</f>
        <v>19 Petank Club Praha - Vorel Jan</v>
      </c>
      <c r="AE12" s="254" t="str">
        <f ca="1">VLOOKUP($A12,'Dohrávka_9-16'!$O$10:$P$35,2,0)</f>
        <v>19 Petank Club Praha - Vorel Jan</v>
      </c>
      <c r="AT12" s="254" t="str">
        <f ca="1">VLOOKUP($A12,'KO32'!$G$6:$H$63,2,0)</f>
        <v>20 Club Rodamiento - Dlouhá Ivana</v>
      </c>
      <c r="AU12" s="247" t="str">
        <f>VLOOKUP($A12,'KO32'!$G$6:$I$63,3,0)</f>
        <v/>
      </c>
      <c r="BG12" s="254" t="str">
        <f ca="1">VLOOKUP($A12,'KO64'!$G$6:$H$127,2,0)</f>
        <v>20 Club Rodamiento - Dlouhá Ivana</v>
      </c>
      <c r="BH12" s="247">
        <f>VLOOKUP($A12,'KO64'!$G$6:$I$127,3,0)</f>
        <v>0</v>
      </c>
      <c r="BI12" s="254" t="str">
        <f ca="1">VLOOKUP($A12,'KO64'!$K$10:$L$123,2,0)</f>
        <v>20 Club Rodamiento - Dlouhá Ivana</v>
      </c>
      <c r="BJ12" s="247">
        <f>VLOOKUP($A12,'KO64'!$K$10:$M$123,3,0)</f>
        <v>0</v>
      </c>
    </row>
    <row r="13" spans="1:71" x14ac:dyDescent="0.25">
      <c r="A13" s="1">
        <v>11</v>
      </c>
      <c r="B13" s="42" t="str">
        <f ca="1">IF(E13&gt;$G$2," - ",D13)</f>
        <v>1 PC Sokol Lipník - Morávek Petr</v>
      </c>
      <c r="C13" s="43">
        <f ca="1">IF(H13&gt;=IF(N(Start.listina!$Y$3)=0,1,Start.listina!$Y$3),IF(A13&lt;=IF(N(Start.listina!$Y$4)=0,Start.listina!$K$7,Start.listina!$Y$4),Centrum!$V13,""),"")</f>
        <v>1</v>
      </c>
      <c r="D13" s="42" t="str">
        <f ca="1">IF(TYPE(VLOOKUP(C13,Centrum!$A$3:$C$130,3,0))&gt;3," -",VLOOKUP(C13,Centrum!$A$3:$C$130,3,0))</f>
        <v>1 PC Sokol Lipník - Morávek Petr</v>
      </c>
      <c r="E13" s="1">
        <v>11</v>
      </c>
      <c r="F13">
        <f t="shared" si="0"/>
        <v>0</v>
      </c>
      <c r="H13" s="1">
        <f ca="1">Centrum!$Y13</f>
        <v>3</v>
      </c>
      <c r="I13" s="254" t="str">
        <f t="shared" ca="1" si="2"/>
        <v>1 PC Sokol Lipník - Morávek Petr</v>
      </c>
      <c r="AE13" s="254" t="str">
        <f ca="1">VLOOKUP($A13,'Dohrávka_9-16'!$O$10:$P$35,2,0)</f>
        <v>1 PC Sokol Lipník - Morávek Petr</v>
      </c>
      <c r="AT13" s="254" t="str">
        <f ca="1">VLOOKUP($A13,'KO32'!$G$6:$H$63,2,0)</f>
        <v>1 PC Sokol Lipník - Morávek Petr</v>
      </c>
      <c r="AU13" s="247" t="str">
        <f>VLOOKUP($A13,'KO32'!$G$6:$I$63,3,0)</f>
        <v/>
      </c>
      <c r="BG13" s="254" t="str">
        <f ca="1">VLOOKUP($A13,'KO64'!$G$6:$H$127,2,0)</f>
        <v>1 PC Sokol Lipník - Morávek Petr</v>
      </c>
      <c r="BH13" s="247">
        <f>VLOOKUP($A13,'KO64'!$G$6:$I$127,3,0)</f>
        <v>0</v>
      </c>
      <c r="BI13" s="254" t="str">
        <f ca="1">VLOOKUP($A13,'KO64'!$K$10:$L$123,2,0)</f>
        <v>1 PC Sokol Lipník - Morávek Petr</v>
      </c>
      <c r="BJ13" s="247">
        <f>VLOOKUP($A13,'KO64'!$K$10:$M$123,3,0)</f>
        <v>0</v>
      </c>
    </row>
    <row r="14" spans="1:71" x14ac:dyDescent="0.25">
      <c r="A14" s="1">
        <v>12</v>
      </c>
      <c r="B14" s="42" t="str">
        <f t="shared" ref="B14:B66" ca="1" si="3">IF(E14&gt;$G$2," - ",D14)</f>
        <v>3 Petank Club Praha - Klír Tomáš</v>
      </c>
      <c r="C14" s="43">
        <f ca="1">IF(H14&gt;=IF(N(Start.listina!$Y$3)=0,1,Start.listina!$Y$3),IF(A14&lt;=IF(N(Start.listina!$Y$4)=0,Start.listina!$K$7,Start.listina!$Y$4),Centrum!$V14,""),"")</f>
        <v>3</v>
      </c>
      <c r="D14" s="42" t="str">
        <f ca="1">IF(TYPE(VLOOKUP(C14,Centrum!$A$3:$C$130,3,0))&gt;3," -",VLOOKUP(C14,Centrum!$A$3:$C$130,3,0))</f>
        <v>3 Petank Club Praha - Klír Tomáš</v>
      </c>
      <c r="E14" s="1">
        <v>12</v>
      </c>
      <c r="F14">
        <f t="shared" si="0"/>
        <v>0</v>
      </c>
      <c r="H14" s="1">
        <f ca="1">Centrum!$Y14</f>
        <v>3</v>
      </c>
      <c r="I14" s="254" t="str">
        <f t="shared" ca="1" si="2"/>
        <v>9 PK Osika Plzeň - Mráz Václav</v>
      </c>
      <c r="AE14" s="254" t="str">
        <f ca="1">VLOOKUP($A14,'Dohrávka_9-16'!$O$10:$P$35,2,0)</f>
        <v>9 PK Osika Plzeň - Mráz Václav</v>
      </c>
      <c r="AT14" s="254" t="str">
        <f ca="1">VLOOKUP($A14,'KO32'!$G$6:$H$63,2,0)</f>
        <v>3 Petank Club Praha - Klír Tomáš</v>
      </c>
      <c r="AU14" s="247" t="str">
        <f>VLOOKUP($A14,'KO32'!$G$6:$I$63,3,0)</f>
        <v/>
      </c>
      <c r="BG14" s="254" t="str">
        <f ca="1">VLOOKUP($A14,'KO64'!$G$6:$H$127,2,0)</f>
        <v>3 Petank Club Praha - Klír Tomáš</v>
      </c>
      <c r="BH14" s="247">
        <f>VLOOKUP($A14,'KO64'!$G$6:$I$127,3,0)</f>
        <v>0</v>
      </c>
      <c r="BI14" s="254" t="str">
        <f ca="1">VLOOKUP($A14,'KO64'!$K$10:$L$123,2,0)</f>
        <v>3 Petank Club Praha - Klír Tomáš</v>
      </c>
      <c r="BJ14" s="247">
        <f>VLOOKUP($A14,'KO64'!$K$10:$M$123,3,0)</f>
        <v>0</v>
      </c>
    </row>
    <row r="15" spans="1:71" x14ac:dyDescent="0.25">
      <c r="A15" s="1">
        <v>13</v>
      </c>
      <c r="B15" s="42" t="str">
        <f t="shared" ca="1" si="3"/>
        <v>16 FRAPECO - Felčárek Jaroslav</v>
      </c>
      <c r="C15" s="43">
        <f ca="1">IF(H15&gt;=IF(N(Start.listina!$Y$3)=0,1,Start.listina!$Y$3),IF(A15&lt;=IF(N(Start.listina!$Y$4)=0,Start.listina!$K$7,Start.listina!$Y$4),Centrum!$V15,""),"")</f>
        <v>16</v>
      </c>
      <c r="D15" s="42" t="str">
        <f ca="1">IF(TYPE(VLOOKUP(C15,Centrum!$A$3:$C$130,3,0))&gt;3," -",VLOOKUP(C15,Centrum!$A$3:$C$130,3,0))</f>
        <v>16 FRAPECO - Felčárek Jaroslav</v>
      </c>
      <c r="E15" s="1">
        <v>13</v>
      </c>
      <c r="F15">
        <f t="shared" si="0"/>
        <v>0</v>
      </c>
      <c r="H15" s="1">
        <f ca="1">Centrum!$Y15</f>
        <v>3</v>
      </c>
      <c r="I15" s="254" t="str">
        <f t="shared" ca="1" si="2"/>
        <v>10 PC Kolová - Plucar Petr</v>
      </c>
      <c r="AE15" s="254" t="str">
        <f ca="1">VLOOKUP($A15,'Dohrávka_9-16'!$O$10:$P$35,2,0)</f>
        <v>10 PC Kolová - Plucar Petr</v>
      </c>
      <c r="AT15" s="254" t="str">
        <f ca="1">VLOOKUP($A15,'KO32'!$G$6:$H$63,2,0)</f>
        <v>16 FRAPECO - Felčárek Jaroslav</v>
      </c>
      <c r="AU15" s="247" t="str">
        <f>VLOOKUP($A15,'KO32'!$G$6:$I$63,3,0)</f>
        <v/>
      </c>
      <c r="BG15" s="254" t="str">
        <f ca="1">VLOOKUP($A15,'KO64'!$G$6:$H$127,2,0)</f>
        <v>16 FRAPECO - Felčárek Jaroslav</v>
      </c>
      <c r="BH15" s="247">
        <f>VLOOKUP($A15,'KO64'!$G$6:$I$127,3,0)</f>
        <v>0</v>
      </c>
      <c r="BI15" s="254" t="str">
        <f ca="1">VLOOKUP($A15,'KO64'!$K$10:$L$123,2,0)</f>
        <v>16 FRAPECO - Felčárek Jaroslav</v>
      </c>
      <c r="BJ15" s="247">
        <f>VLOOKUP($A15,'KO64'!$K$10:$M$123,3,0)</f>
        <v>0</v>
      </c>
    </row>
    <row r="16" spans="1:71" x14ac:dyDescent="0.25">
      <c r="A16" s="1">
        <v>14</v>
      </c>
      <c r="B16" s="42" t="str">
        <f t="shared" ca="1" si="3"/>
        <v>10 PC Kolová - Plucar Petr</v>
      </c>
      <c r="C16" s="43">
        <f ca="1">IF(H16&gt;=IF(N(Start.listina!$Y$3)=0,1,Start.listina!$Y$3),IF(A16&lt;=IF(N(Start.listina!$Y$4)=0,Start.listina!$K$7,Start.listina!$Y$4),Centrum!$V16,""),"")</f>
        <v>10</v>
      </c>
      <c r="D16" s="42" t="str">
        <f ca="1">IF(TYPE(VLOOKUP(C16,Centrum!$A$3:$C$130,3,0))&gt;3," -",VLOOKUP(C16,Centrum!$A$3:$C$130,3,0))</f>
        <v>10 PC Kolová - Plucar Petr</v>
      </c>
      <c r="E16" s="1">
        <v>14</v>
      </c>
      <c r="F16">
        <f t="shared" si="0"/>
        <v>0</v>
      </c>
      <c r="H16" s="1">
        <f ca="1">Centrum!$Y16</f>
        <v>3</v>
      </c>
      <c r="I16" s="254" t="str">
        <f t="shared" ca="1" si="2"/>
        <v>45 Spolek Park Grébovka - Kremlík Miroslav</v>
      </c>
      <c r="AE16" s="254" t="str">
        <f ca="1">VLOOKUP($A16,'Dohrávka_9-16'!$O$10:$P$35,2,0)</f>
        <v>45 Spolek Park Grébovka - Kremlík Miroslav</v>
      </c>
      <c r="AT16" s="254" t="str">
        <f ca="1">VLOOKUP($A16,'KO32'!$G$6:$H$63,2,0)</f>
        <v>10 PC Kolová - Plucar Petr</v>
      </c>
      <c r="AU16" s="247" t="str">
        <f>VLOOKUP($A16,'KO32'!$G$6:$I$63,3,0)</f>
        <v/>
      </c>
      <c r="BG16" s="254" t="str">
        <f ca="1">VLOOKUP($A16,'KO64'!$G$6:$H$127,2,0)</f>
        <v>10 PC Kolová - Plucar Petr</v>
      </c>
      <c r="BH16" s="247">
        <f>VLOOKUP($A16,'KO64'!$G$6:$I$127,3,0)</f>
        <v>0</v>
      </c>
      <c r="BI16" s="254" t="str">
        <f ca="1">VLOOKUP($A16,'KO64'!$K$10:$L$123,2,0)</f>
        <v>10 PC Kolová - Plucar Petr</v>
      </c>
      <c r="BJ16" s="247">
        <f>VLOOKUP($A16,'KO64'!$K$10:$M$123,3,0)</f>
        <v>0</v>
      </c>
    </row>
    <row r="17" spans="1:62" x14ac:dyDescent="0.25">
      <c r="A17" s="1">
        <v>15</v>
      </c>
      <c r="B17" s="42" t="str">
        <f t="shared" ca="1" si="3"/>
        <v>12 CdP Loděnice - Marhoul Jan</v>
      </c>
      <c r="C17" s="43">
        <f ca="1">IF(H17&gt;=IF(N(Start.listina!$Y$3)=0,1,Start.listina!$Y$3),IF(A17&lt;=IF(N(Start.listina!$Y$4)=0,Start.listina!$K$7,Start.listina!$Y$4),Centrum!$V17,""),"")</f>
        <v>12</v>
      </c>
      <c r="D17" s="42" t="str">
        <f ca="1">IF(TYPE(VLOOKUP(C17,Centrum!$A$3:$C$130,3,0))&gt;3," -",VLOOKUP(C17,Centrum!$A$3:$C$130,3,0))</f>
        <v>12 CdP Loděnice - Marhoul Jan</v>
      </c>
      <c r="E17" s="1">
        <v>15</v>
      </c>
      <c r="F17">
        <f t="shared" si="0"/>
        <v>0</v>
      </c>
      <c r="H17" s="1">
        <f ca="1">Centrum!$Y17</f>
        <v>3</v>
      </c>
      <c r="I17" s="254" t="str">
        <f t="shared" ca="1" si="2"/>
        <v>43 SK Španielka Řepy - Holoubek Pavel</v>
      </c>
      <c r="AE17" s="254" t="str">
        <f ca="1">VLOOKUP($A17,'Dohrávka_9-16'!$O$10:$P$35,2,0)</f>
        <v>43 SK Španielka Řepy - Holoubek Pavel</v>
      </c>
      <c r="AT17" s="254" t="str">
        <f ca="1">VLOOKUP($A17,'KO32'!$G$6:$H$63,2,0)</f>
        <v>12 CdP Loděnice - Marhoul Jan</v>
      </c>
      <c r="AU17" s="247" t="str">
        <f>VLOOKUP($A17,'KO32'!$G$6:$I$63,3,0)</f>
        <v/>
      </c>
      <c r="BG17" s="254" t="str">
        <f ca="1">VLOOKUP($A17,'KO64'!$G$6:$H$127,2,0)</f>
        <v>12 CdP Loděnice - Marhoul Jan</v>
      </c>
      <c r="BH17" s="247">
        <f>VLOOKUP($A17,'KO64'!$G$6:$I$127,3,0)</f>
        <v>0</v>
      </c>
      <c r="BI17" s="254" t="str">
        <f ca="1">VLOOKUP($A17,'KO64'!$K$10:$L$123,2,0)</f>
        <v>12 CdP Loděnice - Marhoul Jan</v>
      </c>
      <c r="BJ17" s="247">
        <f>VLOOKUP($A17,'KO64'!$K$10:$M$123,3,0)</f>
        <v>0</v>
      </c>
    </row>
    <row r="18" spans="1:62" x14ac:dyDescent="0.25">
      <c r="A18" s="1">
        <v>16</v>
      </c>
      <c r="B18" s="42" t="str">
        <f t="shared" ca="1" si="3"/>
        <v>35 Spolek Park Grébovka - Nepomucký Jaroslav</v>
      </c>
      <c r="C18" s="43">
        <f ca="1">IF(H18&gt;=IF(N(Start.listina!$Y$3)=0,1,Start.listina!$Y$3),IF(A18&lt;=IF(N(Start.listina!$Y$4)=0,Start.listina!$K$7,Start.listina!$Y$4),Centrum!$V18,""),"")</f>
        <v>35</v>
      </c>
      <c r="D18" s="42" t="str">
        <f ca="1">IF(TYPE(VLOOKUP(C18,Centrum!$A$3:$C$130,3,0))&gt;3," -",VLOOKUP(C18,Centrum!$A$3:$C$130,3,0))</f>
        <v>35 Spolek Park Grébovka - Nepomucký Jaroslav</v>
      </c>
      <c r="E18" s="1">
        <v>16</v>
      </c>
      <c r="F18">
        <f t="shared" si="0"/>
        <v>0</v>
      </c>
      <c r="H18" s="1">
        <f ca="1">Centrum!$Y18</f>
        <v>3</v>
      </c>
      <c r="I18" s="254" t="str">
        <f t="shared" ca="1" si="2"/>
        <v>35 Spolek Park Grébovka - Nepomucký Jaroslav</v>
      </c>
      <c r="AE18" s="254" t="str">
        <f ca="1">VLOOKUP($A18,'Dohrávka_9-16'!$O$10:$P$35,2,0)</f>
        <v>35 Spolek Park Grébovka - Nepomucký Jaroslav</v>
      </c>
      <c r="AT18" s="254" t="str">
        <f ca="1">VLOOKUP($A18,'KO32'!$G$6:$H$63,2,0)</f>
        <v>35 Spolek Park Grébovka - Nepomucký Jaroslav</v>
      </c>
      <c r="AU18" s="247" t="str">
        <f>VLOOKUP($A18,'KO32'!$G$6:$I$63,3,0)</f>
        <v/>
      </c>
      <c r="BG18" s="254" t="str">
        <f ca="1">VLOOKUP($A18,'KO64'!$G$6:$H$127,2,0)</f>
        <v>35 Spolek Park Grébovka - Nepomucký Jaroslav</v>
      </c>
      <c r="BH18" s="247">
        <f>VLOOKUP($A18,'KO64'!$G$6:$I$127,3,0)</f>
        <v>0</v>
      </c>
      <c r="BI18" s="254" t="str">
        <f ca="1">VLOOKUP($A18,'KO64'!$K$10:$L$123,2,0)</f>
        <v>35 Spolek Park Grébovka - Nepomucký Jaroslav</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2</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2</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2</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2</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2</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2</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2</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0</v>
      </c>
      <c r="H27" s="1">
        <f ca="1">Centrum!$Y27</f>
        <v>2</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0</v>
      </c>
      <c r="H28" s="1">
        <f ca="1">Centrum!$Y28</f>
        <v>2</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2</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2</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2</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2</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2</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2</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2</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2</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2</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2</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1</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1</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1</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1</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1</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1</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1</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1</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1</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1</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1</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1</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90" zoomScaleNormal="100" zoomScaleSheetLayoutView="90" workbookViewId="0">
      <pane xSplit="7" ySplit="2" topLeftCell="H19" activePane="bottomRight" state="frozen"/>
      <selection activeCell="G8" sqref="G8"/>
      <selection pane="topRight" activeCell="G8" sqref="G8"/>
      <selection pane="bottomLeft" activeCell="G8" sqref="G8"/>
      <selection pane="bottomRight" activeCell="E1" sqref="E1:I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852</v>
      </c>
      <c r="F1" s="284" t="str">
        <f>Start.listina!$K$4</f>
        <v>Memoriál CdP Loděnice</v>
      </c>
      <c r="G1" s="1"/>
      <c r="H1" s="489" t="str">
        <f>Start.listina!$K$3</f>
        <v>16.07.2016</v>
      </c>
      <c r="I1" s="490"/>
      <c r="J1" s="1"/>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854</v>
      </c>
      <c r="F2" s="8" t="s">
        <v>855</v>
      </c>
      <c r="G2" s="280" t="s">
        <v>1017</v>
      </c>
      <c r="H2" s="487" t="s">
        <v>853</v>
      </c>
      <c r="I2" s="488"/>
      <c r="K2" s="286" t="s">
        <v>863</v>
      </c>
      <c r="L2" s="286" t="s">
        <v>862</v>
      </c>
      <c r="M2" s="286" t="s">
        <v>860</v>
      </c>
      <c r="N2" s="287" t="s">
        <v>859</v>
      </c>
      <c r="O2" s="286" t="s">
        <v>863</v>
      </c>
      <c r="P2" s="286" t="s">
        <v>860</v>
      </c>
      <c r="Q2" s="287" t="s">
        <v>859</v>
      </c>
    </row>
    <row r="3" spans="3:35" ht="22.5" x14ac:dyDescent="0.25">
      <c r="C3" s="285">
        <f ca="1">IF(ROW()-2&gt;Start.listina!$N$7,"",INDIRECT(ADDRESS(ROW(),$D$2,1,1,"Centrum")))</f>
        <v>1</v>
      </c>
      <c r="D3" s="285">
        <f ca="1">IF(ROW()-2&gt;Start.listina!$O$7,"",INDIRECT(ADDRESS(ROW()+Start.listina!$N$7,$D$2,1,1,"Centrum")))</f>
        <v>26</v>
      </c>
      <c r="E3" s="283" t="str">
        <f ca="1">IF(TYPE(VLOOKUP(C3,Centrum!$A$3:$C$130,3,0))&gt;3," - ",VLOOKUP(C3,Centrum!$A$3:$C$130,3,0))</f>
        <v>1 PC Sokol Lipník - Morávek Petr</v>
      </c>
      <c r="F3" s="283" t="str">
        <f ca="1">IF(TYPE(VLOOKUP(D3,Centrum!$A$3:$C$130,3,0))&gt;3," - ",VLOOKUP(D3,Centrum!$A$3:$C$130,3,0))</f>
        <v>26 SKP Kulová osma - Lhoták Jaroslav</v>
      </c>
      <c r="G3" s="463">
        <f>IF(ROW()-2&gt;Start.listina!$O$7,"",ROW()-2)</f>
        <v>1</v>
      </c>
      <c r="H3" s="475">
        <v>11</v>
      </c>
      <c r="I3" s="476">
        <v>6</v>
      </c>
      <c r="K3" s="282">
        <f t="shared" ref="K3:K65" ca="1" si="0">IF(TRIM($F3)="-","",$D3)</f>
        <v>26</v>
      </c>
      <c r="L3" s="282">
        <f t="shared" ref="L3:L65" ca="1" si="1">IF(TRIM($E3)="-","",$C3)</f>
        <v>1</v>
      </c>
      <c r="M3" s="282">
        <f t="shared" ref="M3:M65" ca="1" si="2">IF(AND(TRIM($E3)&lt;&gt;"-",$H3&gt;$I3),1,0)</f>
        <v>1</v>
      </c>
      <c r="N3" s="282">
        <f ca="1">IF(TRIM($E3)="-",0,$H3-$I3)</f>
        <v>5</v>
      </c>
      <c r="O3" s="282">
        <f t="shared" ref="O3:O65" ca="1" si="3">IF(TRIM($F3)="-","",$D3)</f>
        <v>26</v>
      </c>
      <c r="P3" s="282">
        <f t="shared" ref="P3:P65" ca="1" si="4">IF(AND(TRIM($F3)&lt;&gt;"-",$I3&gt;$H3),1,0)</f>
        <v>0</v>
      </c>
      <c r="Q3" s="288">
        <f t="shared" ref="Q3:Q65" ca="1" si="5">IF(TRIM($F3)="-",0,$I3-$H3)</f>
        <v>-5</v>
      </c>
    </row>
    <row r="4" spans="3:35" ht="22.5" x14ac:dyDescent="0.25">
      <c r="C4" s="285">
        <f ca="1">IF(ROW()-2&gt;Start.listina!$N$7,"",INDIRECT(ADDRESS(ROW(),$D$2,1,1,"Centrum")))</f>
        <v>2</v>
      </c>
      <c r="D4" s="285">
        <f ca="1">IF(ROW()-2&gt;Start.listina!$O$7,"",INDIRECT(ADDRESS(ROW()+Start.listina!$N$7,$D$2,1,1,"Centrum")))</f>
        <v>27</v>
      </c>
      <c r="E4" s="283" t="str">
        <f ca="1">IF(TYPE(VLOOKUP(C4,Centrum!$A$3:$C$130,3,0))&gt;3," - ",VLOOKUP(C4,Centrum!$A$3:$C$130,3,0))</f>
        <v>2 PC Sokol Lipník - Fafek Petr</v>
      </c>
      <c r="F4" s="283" t="str">
        <f ca="1">IF(TYPE(VLOOKUP(D4,Centrum!$A$3:$C$130,3,0))&gt;3," - ",VLOOKUP(D4,Centrum!$A$3:$C$130,3,0))</f>
        <v>27 Sokol Kostomlaty - Hercoková Milena</v>
      </c>
      <c r="G4" s="463">
        <f>IF(ROW()-2&gt;Start.listina!$O$7,"",ROW()-2)</f>
        <v>2</v>
      </c>
      <c r="H4" s="475">
        <v>13</v>
      </c>
      <c r="I4" s="476">
        <v>5</v>
      </c>
      <c r="K4" s="282">
        <f t="shared" ca="1" si="0"/>
        <v>27</v>
      </c>
      <c r="L4" s="282">
        <f t="shared" ca="1" si="1"/>
        <v>2</v>
      </c>
      <c r="M4" s="282">
        <f t="shared" ca="1" si="2"/>
        <v>1</v>
      </c>
      <c r="N4" s="282">
        <f t="shared" ref="N4:N66" ca="1" si="6">IF(TRIM($E4)="-",0,$H4-$I4)</f>
        <v>8</v>
      </c>
      <c r="O4" s="282">
        <f t="shared" ca="1" si="3"/>
        <v>27</v>
      </c>
      <c r="P4" s="282">
        <f t="shared" ca="1" si="4"/>
        <v>0</v>
      </c>
      <c r="Q4" s="289">
        <f t="shared" ca="1" si="5"/>
        <v>-8</v>
      </c>
    </row>
    <row r="5" spans="3:35" ht="22.5" x14ac:dyDescent="0.25">
      <c r="C5" s="285">
        <f ca="1">IF(ROW()-2&gt;Start.listina!$N$7,"",INDIRECT(ADDRESS(ROW(),$D$2,1,1,"Centrum")))</f>
        <v>3</v>
      </c>
      <c r="D5" s="285">
        <f ca="1">IF(ROW()-2&gt;Start.listina!$O$7,"",INDIRECT(ADDRESS(ROW()+Start.listina!$N$7,$D$2,1,1,"Centrum")))</f>
        <v>28</v>
      </c>
      <c r="E5" s="283" t="str">
        <f ca="1">IF(TYPE(VLOOKUP(C5,Centrum!$A$3:$C$130,3,0))&gt;3," - ",VLOOKUP(C5,Centrum!$A$3:$C$130,3,0))</f>
        <v>3 Petank Club Praha - Klír Tomáš</v>
      </c>
      <c r="F5" s="283" t="str">
        <f ca="1">IF(TYPE(VLOOKUP(D5,Centrum!$A$3:$C$130,3,0))&gt;3," - ",VLOOKUP(D5,Centrum!$A$3:$C$130,3,0))</f>
        <v>28 C.T.P. Club Ořech - Leiský Leander</v>
      </c>
      <c r="G5" s="463">
        <f>IF(ROW()-2&gt;Start.listina!$O$7,"",ROW()-2)</f>
        <v>3</v>
      </c>
      <c r="H5" s="475">
        <v>13</v>
      </c>
      <c r="I5" s="476">
        <v>2</v>
      </c>
      <c r="K5" s="282">
        <f t="shared" ca="1" si="0"/>
        <v>28</v>
      </c>
      <c r="L5" s="282">
        <f t="shared" ca="1" si="1"/>
        <v>3</v>
      </c>
      <c r="M5" s="282">
        <f t="shared" ca="1" si="2"/>
        <v>1</v>
      </c>
      <c r="N5" s="282">
        <f t="shared" ca="1" si="6"/>
        <v>11</v>
      </c>
      <c r="O5" s="282">
        <f t="shared" ca="1" si="3"/>
        <v>28</v>
      </c>
      <c r="P5" s="282">
        <f t="shared" ca="1" si="4"/>
        <v>0</v>
      </c>
      <c r="Q5" s="289">
        <f t="shared" ca="1" si="5"/>
        <v>-11</v>
      </c>
    </row>
    <row r="6" spans="3:35" ht="22.5" x14ac:dyDescent="0.25">
      <c r="C6" s="285">
        <f ca="1">IF(ROW()-2&gt;Start.listina!$N$7,"",INDIRECT(ADDRESS(ROW(),$D$2,1,1,"Centrum")))</f>
        <v>4</v>
      </c>
      <c r="D6" s="285">
        <f ca="1">IF(ROW()-2&gt;Start.listina!$O$7,"",INDIRECT(ADDRESS(ROW()+Start.listina!$N$7,$D$2,1,1,"Centrum")))</f>
        <v>29</v>
      </c>
      <c r="E6" s="283" t="str">
        <f ca="1">IF(TYPE(VLOOKUP(C6,Centrum!$A$3:$C$130,3,0))&gt;3," - ",VLOOKUP(C6,Centrum!$A$3:$C$130,3,0))</f>
        <v>4 1. KPK Vrchlabí - Brázda Vladimír</v>
      </c>
      <c r="F6" s="283" t="str">
        <f ca="1">IF(TYPE(VLOOKUP(D6,Centrum!$A$3:$C$130,3,0))&gt;3," - ",VLOOKUP(D6,Centrum!$A$3:$C$130,3,0))</f>
        <v>29 SKP Kulová osma - Pilát Petr</v>
      </c>
      <c r="G6" s="463">
        <f>IF(ROW()-2&gt;Start.listina!$O$7,"",ROW()-2)</f>
        <v>4</v>
      </c>
      <c r="H6" s="475">
        <v>11</v>
      </c>
      <c r="I6" s="476">
        <v>8</v>
      </c>
      <c r="K6" s="282">
        <f t="shared" ca="1" si="0"/>
        <v>29</v>
      </c>
      <c r="L6" s="282">
        <f t="shared" ca="1" si="1"/>
        <v>4</v>
      </c>
      <c r="M6" s="282">
        <f t="shared" ca="1" si="2"/>
        <v>1</v>
      </c>
      <c r="N6" s="282">
        <f t="shared" ca="1" si="6"/>
        <v>3</v>
      </c>
      <c r="O6" s="282">
        <f t="shared" ca="1" si="3"/>
        <v>29</v>
      </c>
      <c r="P6" s="282">
        <f t="shared" ca="1" si="4"/>
        <v>0</v>
      </c>
      <c r="Q6" s="289">
        <f t="shared" ca="1" si="5"/>
        <v>-3</v>
      </c>
    </row>
    <row r="7" spans="3:35" ht="22.5" x14ac:dyDescent="0.25">
      <c r="C7" s="285">
        <f ca="1">IF(ROW()-2&gt;Start.listina!$N$7,"",INDIRECT(ADDRESS(ROW(),$D$2,1,1,"Centrum")))</f>
        <v>5</v>
      </c>
      <c r="D7" s="285">
        <f ca="1">IF(ROW()-2&gt;Start.listina!$O$7,"",INDIRECT(ADDRESS(ROW()+Start.listina!$N$7,$D$2,1,1,"Centrum")))</f>
        <v>30</v>
      </c>
      <c r="E7" s="283" t="str">
        <f ca="1">IF(TYPE(VLOOKUP(C7,Centrum!$A$3:$C$130,3,0))&gt;3," - ",VLOOKUP(C7,Centrum!$A$3:$C$130,3,0))</f>
        <v>5 PK Osika Plzeň - Valenz Jan</v>
      </c>
      <c r="F7" s="283" t="str">
        <f ca="1">IF(TYPE(VLOOKUP(D7,Centrum!$A$3:$C$130,3,0))&gt;3," - ",VLOOKUP(D7,Centrum!$A$3:$C$130,3,0))</f>
        <v>30 SKP Kulová osma - Slapnička Václav</v>
      </c>
      <c r="G7" s="463">
        <f>IF(ROW()-2&gt;Start.listina!$O$7,"",ROW()-2)</f>
        <v>5</v>
      </c>
      <c r="H7" s="475">
        <v>12</v>
      </c>
      <c r="I7" s="476">
        <v>9</v>
      </c>
      <c r="K7" s="282">
        <f t="shared" ca="1" si="0"/>
        <v>30</v>
      </c>
      <c r="L7" s="282">
        <f t="shared" ca="1" si="1"/>
        <v>5</v>
      </c>
      <c r="M7" s="282">
        <f t="shared" ca="1" si="2"/>
        <v>1</v>
      </c>
      <c r="N7" s="282">
        <f t="shared" ca="1" si="6"/>
        <v>3</v>
      </c>
      <c r="O7" s="282">
        <f t="shared" ca="1" si="3"/>
        <v>30</v>
      </c>
      <c r="P7" s="282">
        <f t="shared" ca="1" si="4"/>
        <v>0</v>
      </c>
      <c r="Q7" s="289">
        <f t="shared" ca="1" si="5"/>
        <v>-3</v>
      </c>
    </row>
    <row r="8" spans="3:35" ht="22.5" x14ac:dyDescent="0.25">
      <c r="C8" s="285">
        <f ca="1">IF(ROW()-2&gt;Start.listina!$N$7,"",INDIRECT(ADDRESS(ROW(),$D$2,1,1,"Centrum")))</f>
        <v>6</v>
      </c>
      <c r="D8" s="285">
        <f ca="1">IF(ROW()-2&gt;Start.listina!$O$7,"",INDIRECT(ADDRESS(ROW()+Start.listina!$N$7,$D$2,1,1,"Centrum")))</f>
        <v>31</v>
      </c>
      <c r="E8" s="283" t="str">
        <f ca="1">IF(TYPE(VLOOKUP(C8,Centrum!$A$3:$C$130,3,0))&gt;3," - ",VLOOKUP(C8,Centrum!$A$3:$C$130,3,0))</f>
        <v>6 SK Sahara Vědomice - Demčíková Jiřina</v>
      </c>
      <c r="F8" s="283" t="str">
        <f ca="1">IF(TYPE(VLOOKUP(D8,Centrum!$A$3:$C$130,3,0))&gt;3," - ",VLOOKUP(D8,Centrum!$A$3:$C$130,3,0))</f>
        <v>31 SKP Kulová osma - Koudelková Ema</v>
      </c>
      <c r="G8" s="463">
        <f>IF(ROW()-2&gt;Start.listina!$O$7,"",ROW()-2)</f>
        <v>6</v>
      </c>
      <c r="H8" s="475">
        <v>13</v>
      </c>
      <c r="I8" s="476">
        <v>3</v>
      </c>
      <c r="K8" s="282">
        <f t="shared" ca="1" si="0"/>
        <v>31</v>
      </c>
      <c r="L8" s="282">
        <f t="shared" ca="1" si="1"/>
        <v>6</v>
      </c>
      <c r="M8" s="282">
        <f t="shared" ca="1" si="2"/>
        <v>1</v>
      </c>
      <c r="N8" s="282">
        <f t="shared" ca="1" si="6"/>
        <v>10</v>
      </c>
      <c r="O8" s="282">
        <f t="shared" ca="1" si="3"/>
        <v>31</v>
      </c>
      <c r="P8" s="282">
        <f t="shared" ca="1" si="4"/>
        <v>0</v>
      </c>
      <c r="Q8" s="289">
        <f t="shared" ca="1" si="5"/>
        <v>-10</v>
      </c>
    </row>
    <row r="9" spans="3:35" ht="22.5" x14ac:dyDescent="0.25">
      <c r="C9" s="285">
        <f ca="1">IF(ROW()-2&gt;Start.listina!$N$7,"",INDIRECT(ADDRESS(ROW(),$D$2,1,1,"Centrum")))</f>
        <v>7</v>
      </c>
      <c r="D9" s="285">
        <f ca="1">IF(ROW()-2&gt;Start.listina!$O$7,"",INDIRECT(ADDRESS(ROW()+Start.listina!$N$7,$D$2,1,1,"Centrum")))</f>
        <v>32</v>
      </c>
      <c r="E9" s="283" t="str">
        <f ca="1">IF(TYPE(VLOOKUP(C9,Centrum!$A$3:$C$130,3,0))&gt;3," - ",VLOOKUP(C9,Centrum!$A$3:$C$130,3,0))</f>
        <v>7 PC Kolová - Kacerovský Ivo</v>
      </c>
      <c r="F9" s="283" t="str">
        <f ca="1">IF(TYPE(VLOOKUP(D9,Centrum!$A$3:$C$130,3,0))&gt;3," - ",VLOOKUP(D9,Centrum!$A$3:$C$130,3,0))</f>
        <v>32 Petank Club Praha - Boubínová Vendula</v>
      </c>
      <c r="G9" s="463">
        <f>IF(ROW()-2&gt;Start.listina!$O$7,"",ROW()-2)</f>
        <v>7</v>
      </c>
      <c r="H9" s="475">
        <v>13</v>
      </c>
      <c r="I9" s="476">
        <v>3</v>
      </c>
      <c r="K9" s="282">
        <f t="shared" ca="1" si="0"/>
        <v>32</v>
      </c>
      <c r="L9" s="282">
        <f t="shared" ca="1" si="1"/>
        <v>7</v>
      </c>
      <c r="M9" s="282">
        <f t="shared" ca="1" si="2"/>
        <v>1</v>
      </c>
      <c r="N9" s="282">
        <f t="shared" ca="1" si="6"/>
        <v>10</v>
      </c>
      <c r="O9" s="282">
        <f t="shared" ca="1" si="3"/>
        <v>32</v>
      </c>
      <c r="P9" s="282">
        <f t="shared" ca="1" si="4"/>
        <v>0</v>
      </c>
      <c r="Q9" s="289">
        <f t="shared" ca="1" si="5"/>
        <v>-10</v>
      </c>
    </row>
    <row r="10" spans="3:35" ht="22.5" x14ac:dyDescent="0.25">
      <c r="C10" s="285">
        <f ca="1">IF(ROW()-2&gt;Start.listina!$N$7,"",INDIRECT(ADDRESS(ROW(),$D$2,1,1,"Centrum")))</f>
        <v>8</v>
      </c>
      <c r="D10" s="285">
        <f ca="1">IF(ROW()-2&gt;Start.listina!$O$7,"",INDIRECT(ADDRESS(ROW()+Start.listina!$N$7,$D$2,1,1,"Centrum")))</f>
        <v>33</v>
      </c>
      <c r="E10" s="283" t="str">
        <f ca="1">IF(TYPE(VLOOKUP(C10,Centrum!$A$3:$C$130,3,0))&gt;3," - ",VLOOKUP(C10,Centrum!$A$3:$C$130,3,0))</f>
        <v>8 CdP Loděnice - Mrázek Petr</v>
      </c>
      <c r="F10" s="283" t="str">
        <f ca="1">IF(TYPE(VLOOKUP(D10,Centrum!$A$3:$C$130,3,0))&gt;3," - ",VLOOKUP(D10,Centrum!$A$3:$C$130,3,0))</f>
        <v>33 CdP Loděnice - Fatka Stanislav ml.</v>
      </c>
      <c r="G10" s="463">
        <f>IF(ROW()-2&gt;Start.listina!$O$7,"",ROW()-2)</f>
        <v>8</v>
      </c>
      <c r="H10" s="475">
        <v>13</v>
      </c>
      <c r="I10" s="476">
        <v>8</v>
      </c>
      <c r="K10" s="282">
        <f t="shared" ca="1" si="0"/>
        <v>33</v>
      </c>
      <c r="L10" s="282">
        <f t="shared" ca="1" si="1"/>
        <v>8</v>
      </c>
      <c r="M10" s="282">
        <f t="shared" ca="1" si="2"/>
        <v>1</v>
      </c>
      <c r="N10" s="282">
        <f t="shared" ca="1" si="6"/>
        <v>5</v>
      </c>
      <c r="O10" s="282">
        <f t="shared" ca="1" si="3"/>
        <v>33</v>
      </c>
      <c r="P10" s="282">
        <f t="shared" ca="1" si="4"/>
        <v>0</v>
      </c>
      <c r="Q10" s="289">
        <f t="shared" ca="1" si="5"/>
        <v>-5</v>
      </c>
    </row>
    <row r="11" spans="3:35" ht="22.5" x14ac:dyDescent="0.25">
      <c r="C11" s="285">
        <f ca="1">IF(ROW()-2&gt;Start.listina!$N$7,"",INDIRECT(ADDRESS(ROW(),$D$2,1,1,"Centrum")))</f>
        <v>9</v>
      </c>
      <c r="D11" s="285">
        <f ca="1">IF(ROW()-2&gt;Start.listina!$O$7,"",INDIRECT(ADDRESS(ROW()+Start.listina!$N$7,$D$2,1,1,"Centrum")))</f>
        <v>34</v>
      </c>
      <c r="E11" s="283" t="str">
        <f ca="1">IF(TYPE(VLOOKUP(C11,Centrum!$A$3:$C$130,3,0))&gt;3," - ",VLOOKUP(C11,Centrum!$A$3:$C$130,3,0))</f>
        <v>9 PK Osika Plzeň - Mráz Václav</v>
      </c>
      <c r="F11" s="283" t="str">
        <f ca="1">IF(TYPE(VLOOKUP(D11,Centrum!$A$3:$C$130,3,0))&gt;3," - ",VLOOKUP(D11,Centrum!$A$3:$C$130,3,0))</f>
        <v>34 UBU Únětice - Bayer Milan</v>
      </c>
      <c r="G11" s="463">
        <f>IF(ROW()-2&gt;Start.listina!$O$7,"",ROW()-2)</f>
        <v>9</v>
      </c>
      <c r="H11" s="475">
        <v>8</v>
      </c>
      <c r="I11" s="476">
        <v>7</v>
      </c>
      <c r="K11" s="282">
        <f t="shared" ca="1" si="0"/>
        <v>34</v>
      </c>
      <c r="L11" s="282">
        <f t="shared" ca="1" si="1"/>
        <v>9</v>
      </c>
      <c r="M11" s="282">
        <f t="shared" ca="1" si="2"/>
        <v>1</v>
      </c>
      <c r="N11" s="282">
        <f t="shared" ca="1" si="6"/>
        <v>1</v>
      </c>
      <c r="O11" s="282">
        <f t="shared" ca="1" si="3"/>
        <v>34</v>
      </c>
      <c r="P11" s="282">
        <f t="shared" ca="1" si="4"/>
        <v>0</v>
      </c>
      <c r="Q11" s="289">
        <f t="shared" ca="1" si="5"/>
        <v>-1</v>
      </c>
    </row>
    <row r="12" spans="3:35" ht="22.5" x14ac:dyDescent="0.25">
      <c r="C12" s="285">
        <f ca="1">IF(ROW()-2&gt;Start.listina!$N$7,"",INDIRECT(ADDRESS(ROW(),$D$2,1,1,"Centrum")))</f>
        <v>10</v>
      </c>
      <c r="D12" s="285">
        <f ca="1">IF(ROW()-2&gt;Start.listina!$O$7,"",INDIRECT(ADDRESS(ROW()+Start.listina!$N$7,$D$2,1,1,"Centrum")))</f>
        <v>35</v>
      </c>
      <c r="E12" s="283" t="str">
        <f ca="1">IF(TYPE(VLOOKUP(C12,Centrum!$A$3:$C$130,3,0))&gt;3," - ",VLOOKUP(C12,Centrum!$A$3:$C$130,3,0))</f>
        <v>10 PC Kolová - Plucar Petr</v>
      </c>
      <c r="F12" s="283" t="str">
        <f ca="1">IF(TYPE(VLOOKUP(D12,Centrum!$A$3:$C$130,3,0))&gt;3," - ",VLOOKUP(D12,Centrum!$A$3:$C$130,3,0))</f>
        <v>35 Spolek Park Grébovka - Nepomucký Jaroslav</v>
      </c>
      <c r="G12" s="463">
        <f>IF(ROW()-2&gt;Start.listina!$O$7,"",ROW()-2)</f>
        <v>10</v>
      </c>
      <c r="H12" s="475">
        <v>13</v>
      </c>
      <c r="I12" s="476">
        <v>3</v>
      </c>
      <c r="K12" s="282">
        <f t="shared" ca="1" si="0"/>
        <v>35</v>
      </c>
      <c r="L12" s="282">
        <f t="shared" ca="1" si="1"/>
        <v>10</v>
      </c>
      <c r="M12" s="282">
        <f t="shared" ca="1" si="2"/>
        <v>1</v>
      </c>
      <c r="N12" s="282">
        <f t="shared" ca="1" si="6"/>
        <v>10</v>
      </c>
      <c r="O12" s="282">
        <f t="shared" ca="1" si="3"/>
        <v>35</v>
      </c>
      <c r="P12" s="282">
        <f t="shared" ca="1" si="4"/>
        <v>0</v>
      </c>
      <c r="Q12" s="289">
        <f t="shared" ca="1" si="5"/>
        <v>-10</v>
      </c>
    </row>
    <row r="13" spans="3:35" ht="22.5" x14ac:dyDescent="0.25">
      <c r="C13" s="285">
        <f ca="1">IF(ROW()-2&gt;Start.listina!$N$7,"",INDIRECT(ADDRESS(ROW(),$D$2,1,1,"Centrum")))</f>
        <v>11</v>
      </c>
      <c r="D13" s="285">
        <f ca="1">IF(ROW()-2&gt;Start.listina!$O$7,"",INDIRECT(ADDRESS(ROW()+Start.listina!$N$7,$D$2,1,1,"Centrum")))</f>
        <v>36</v>
      </c>
      <c r="E13" s="283" t="str">
        <f ca="1">IF(TYPE(VLOOKUP(C13,Centrum!$A$3:$C$130,3,0))&gt;3," - ",VLOOKUP(C13,Centrum!$A$3:$C$130,3,0))</f>
        <v>11 PC Sokol Lipník - Froňková Blanka</v>
      </c>
      <c r="F13" s="283" t="str">
        <f ca="1">IF(TYPE(VLOOKUP(D13,Centrum!$A$3:$C$130,3,0))&gt;3," - ",VLOOKUP(D13,Centrum!$A$3:$C$130,3,0))</f>
        <v>36 UBU Únětice - Pflimpflová Alexandra</v>
      </c>
      <c r="G13" s="463">
        <f>IF(ROW()-2&gt;Start.listina!$O$7,"",ROW()-2)</f>
        <v>11</v>
      </c>
      <c r="H13" s="475">
        <v>13</v>
      </c>
      <c r="I13" s="476">
        <v>7</v>
      </c>
      <c r="K13" s="282">
        <f t="shared" ca="1" si="0"/>
        <v>36</v>
      </c>
      <c r="L13" s="282">
        <f t="shared" ca="1" si="1"/>
        <v>11</v>
      </c>
      <c r="M13" s="282">
        <f t="shared" ca="1" si="2"/>
        <v>1</v>
      </c>
      <c r="N13" s="282">
        <f t="shared" ca="1" si="6"/>
        <v>6</v>
      </c>
      <c r="O13" s="282">
        <f t="shared" ca="1" si="3"/>
        <v>36</v>
      </c>
      <c r="P13" s="282">
        <f t="shared" ca="1" si="4"/>
        <v>0</v>
      </c>
      <c r="Q13" s="289">
        <f t="shared" ca="1" si="5"/>
        <v>-6</v>
      </c>
    </row>
    <row r="14" spans="3:35" ht="22.5" x14ac:dyDescent="0.25">
      <c r="C14" s="285">
        <f ca="1">IF(ROW()-2&gt;Start.listina!$N$7,"",INDIRECT(ADDRESS(ROW(),$D$2,1,1,"Centrum")))</f>
        <v>12</v>
      </c>
      <c r="D14" s="285">
        <f ca="1">IF(ROW()-2&gt;Start.listina!$O$7,"",INDIRECT(ADDRESS(ROW()+Start.listina!$N$7,$D$2,1,1,"Centrum")))</f>
        <v>37</v>
      </c>
      <c r="E14" s="283" t="str">
        <f ca="1">IF(TYPE(VLOOKUP(C14,Centrum!$A$3:$C$130,3,0))&gt;3," - ",VLOOKUP(C14,Centrum!$A$3:$C$130,3,0))</f>
        <v>12 CdP Loděnice - Marhoul Jan</v>
      </c>
      <c r="F14" s="283" t="str">
        <f ca="1">IF(TYPE(VLOOKUP(D14,Centrum!$A$3:$C$130,3,0))&gt;3," - ",VLOOKUP(D14,Centrum!$A$3:$C$130,3,0))</f>
        <v>37 Club Rodamiento - Moos Daniel</v>
      </c>
      <c r="G14" s="463">
        <f>IF(ROW()-2&gt;Start.listina!$O$7,"",ROW()-2)</f>
        <v>12</v>
      </c>
      <c r="H14" s="475">
        <v>13</v>
      </c>
      <c r="I14" s="476">
        <v>7</v>
      </c>
      <c r="K14" s="282">
        <f t="shared" ca="1" si="0"/>
        <v>37</v>
      </c>
      <c r="L14" s="282">
        <f t="shared" ca="1" si="1"/>
        <v>12</v>
      </c>
      <c r="M14" s="282">
        <f t="shared" ca="1" si="2"/>
        <v>1</v>
      </c>
      <c r="N14" s="282">
        <f t="shared" ca="1" si="6"/>
        <v>6</v>
      </c>
      <c r="O14" s="282">
        <f t="shared" ca="1" si="3"/>
        <v>37</v>
      </c>
      <c r="P14" s="282">
        <f t="shared" ca="1" si="4"/>
        <v>0</v>
      </c>
      <c r="Q14" s="289">
        <f t="shared" ca="1" si="5"/>
        <v>-6</v>
      </c>
    </row>
    <row r="15" spans="3:35" ht="22.5" x14ac:dyDescent="0.25">
      <c r="C15" s="285">
        <f ca="1">IF(ROW()-2&gt;Start.listina!$N$7,"",INDIRECT(ADDRESS(ROW(),$D$2,1,1,"Centrum")))</f>
        <v>13</v>
      </c>
      <c r="D15" s="285">
        <f ca="1">IF(ROW()-2&gt;Start.listina!$O$7,"",INDIRECT(ADDRESS(ROW()+Start.listina!$N$7,$D$2,1,1,"Centrum")))</f>
        <v>38</v>
      </c>
      <c r="E15" s="283" t="str">
        <f ca="1">IF(TYPE(VLOOKUP(C15,Centrum!$A$3:$C$130,3,0))&gt;3," - ",VLOOKUP(C15,Centrum!$A$3:$C$130,3,0))</f>
        <v>13 PC Sokol Lipník - Fafková Jana</v>
      </c>
      <c r="F15" s="283" t="str">
        <f ca="1">IF(TYPE(VLOOKUP(D15,Centrum!$A$3:$C$130,3,0))&gt;3," - ",VLOOKUP(D15,Centrum!$A$3:$C$130,3,0))</f>
        <v>38 JAPKO - Stejskal Petr</v>
      </c>
      <c r="G15" s="463">
        <f>IF(ROW()-2&gt;Start.listina!$O$7,"",ROW()-2)</f>
        <v>13</v>
      </c>
      <c r="H15" s="475">
        <v>11</v>
      </c>
      <c r="I15" s="476">
        <v>7</v>
      </c>
      <c r="K15" s="282">
        <f t="shared" ca="1" si="0"/>
        <v>38</v>
      </c>
      <c r="L15" s="282">
        <f t="shared" ca="1" si="1"/>
        <v>13</v>
      </c>
      <c r="M15" s="282">
        <f t="shared" ca="1" si="2"/>
        <v>1</v>
      </c>
      <c r="N15" s="282">
        <f t="shared" ca="1" si="6"/>
        <v>4</v>
      </c>
      <c r="O15" s="282">
        <f t="shared" ca="1" si="3"/>
        <v>38</v>
      </c>
      <c r="P15" s="282">
        <f t="shared" ca="1" si="4"/>
        <v>0</v>
      </c>
      <c r="Q15" s="289">
        <f t="shared" ca="1" si="5"/>
        <v>-4</v>
      </c>
    </row>
    <row r="16" spans="3:35" ht="22.5" x14ac:dyDescent="0.25">
      <c r="C16" s="285">
        <f ca="1">IF(ROW()-2&gt;Start.listina!$N$7,"",INDIRECT(ADDRESS(ROW(),$D$2,1,1,"Centrum")))</f>
        <v>14</v>
      </c>
      <c r="D16" s="285">
        <f ca="1">IF(ROW()-2&gt;Start.listina!$O$7,"",INDIRECT(ADDRESS(ROW()+Start.listina!$N$7,$D$2,1,1,"Centrum")))</f>
        <v>39</v>
      </c>
      <c r="E16" s="283" t="str">
        <f ca="1">IF(TYPE(VLOOKUP(C16,Centrum!$A$3:$C$130,3,0))&gt;3," - ",VLOOKUP(C16,Centrum!$A$3:$C$130,3,0))</f>
        <v>14 Sokol Kostomlaty - Vaníček Rudolf</v>
      </c>
      <c r="F16" s="283" t="str">
        <f ca="1">IF(TYPE(VLOOKUP(D16,Centrum!$A$3:$C$130,3,0))&gt;3," - ",VLOOKUP(D16,Centrum!$A$3:$C$130,3,0))</f>
        <v>39 C.T.P. Club Ořech - Glaser Vladimír</v>
      </c>
      <c r="G16" s="463">
        <f>IF(ROW()-2&gt;Start.listina!$O$7,"",ROW()-2)</f>
        <v>14</v>
      </c>
      <c r="H16" s="475">
        <v>13</v>
      </c>
      <c r="I16" s="476">
        <v>7</v>
      </c>
      <c r="K16" s="282">
        <f t="shared" ca="1" si="0"/>
        <v>39</v>
      </c>
      <c r="L16" s="282">
        <f t="shared" ca="1" si="1"/>
        <v>14</v>
      </c>
      <c r="M16" s="282">
        <f t="shared" ca="1" si="2"/>
        <v>1</v>
      </c>
      <c r="N16" s="282">
        <f t="shared" ca="1" si="6"/>
        <v>6</v>
      </c>
      <c r="O16" s="282">
        <f t="shared" ca="1" si="3"/>
        <v>39</v>
      </c>
      <c r="P16" s="282">
        <f t="shared" ca="1" si="4"/>
        <v>0</v>
      </c>
      <c r="Q16" s="289">
        <f t="shared" ca="1" si="5"/>
        <v>-6</v>
      </c>
    </row>
    <row r="17" spans="3:17" ht="22.5" x14ac:dyDescent="0.25">
      <c r="C17" s="285">
        <f ca="1">IF(ROW()-2&gt;Start.listina!$N$7,"",INDIRECT(ADDRESS(ROW(),$D$2,1,1,"Centrum")))</f>
        <v>15</v>
      </c>
      <c r="D17" s="285">
        <f ca="1">IF(ROW()-2&gt;Start.listina!$O$7,"",INDIRECT(ADDRESS(ROW()+Start.listina!$N$7,$D$2,1,1,"Centrum")))</f>
        <v>40</v>
      </c>
      <c r="E17" s="283" t="str">
        <f ca="1">IF(TYPE(VLOOKUP(C17,Centrum!$A$3:$C$130,3,0))&gt;3," - ",VLOOKUP(C17,Centrum!$A$3:$C$130,3,0))</f>
        <v>15 SKP Kulová osma - Zátka Miloslav</v>
      </c>
      <c r="F17" s="283" t="str">
        <f ca="1">IF(TYPE(VLOOKUP(D17,Centrum!$A$3:$C$130,3,0))&gt;3," - ",VLOOKUP(D17,Centrum!$A$3:$C$130,3,0))</f>
        <v>40 SKP Kulová osma - Fárová Helena</v>
      </c>
      <c r="G17" s="463">
        <f>IF(ROW()-2&gt;Start.listina!$O$7,"",ROW()-2)</f>
        <v>15</v>
      </c>
      <c r="H17" s="475">
        <v>4</v>
      </c>
      <c r="I17" s="476">
        <v>13</v>
      </c>
      <c r="K17" s="282">
        <f t="shared" ca="1" si="0"/>
        <v>40</v>
      </c>
      <c r="L17" s="282">
        <f t="shared" ca="1" si="1"/>
        <v>15</v>
      </c>
      <c r="M17" s="282">
        <f t="shared" ca="1" si="2"/>
        <v>0</v>
      </c>
      <c r="N17" s="282">
        <f t="shared" ca="1" si="6"/>
        <v>-9</v>
      </c>
      <c r="O17" s="282">
        <f t="shared" ca="1" si="3"/>
        <v>40</v>
      </c>
      <c r="P17" s="282">
        <f t="shared" ca="1" si="4"/>
        <v>1</v>
      </c>
      <c r="Q17" s="289">
        <f t="shared" ca="1" si="5"/>
        <v>9</v>
      </c>
    </row>
    <row r="18" spans="3:17" ht="22.5" x14ac:dyDescent="0.25">
      <c r="C18" s="285">
        <f ca="1">IF(ROW()-2&gt;Start.listina!$N$7,"",INDIRECT(ADDRESS(ROW(),$D$2,1,1,"Centrum")))</f>
        <v>16</v>
      </c>
      <c r="D18" s="285">
        <f ca="1">IF(ROW()-2&gt;Start.listina!$O$7,"",INDIRECT(ADDRESS(ROW()+Start.listina!$N$7,$D$2,1,1,"Centrum")))</f>
        <v>41</v>
      </c>
      <c r="E18" s="283" t="str">
        <f ca="1">IF(TYPE(VLOOKUP(C18,Centrum!$A$3:$C$130,3,0))&gt;3," - ",VLOOKUP(C18,Centrum!$A$3:$C$130,3,0))</f>
        <v>16 FRAPECO - Felčárek Jaroslav</v>
      </c>
      <c r="F18" s="283" t="str">
        <f ca="1">IF(TYPE(VLOOKUP(D18,Centrum!$A$3:$C$130,3,0))&gt;3," - ",VLOOKUP(D18,Centrum!$A$3:$C$130,3,0))</f>
        <v>41 CdP Loděnice - Janoš Jiří</v>
      </c>
      <c r="G18" s="463">
        <f>IF(ROW()-2&gt;Start.listina!$O$7,"",ROW()-2)</f>
        <v>16</v>
      </c>
      <c r="H18" s="475">
        <v>13</v>
      </c>
      <c r="I18" s="476">
        <v>2</v>
      </c>
      <c r="K18" s="282">
        <f t="shared" ca="1" si="0"/>
        <v>41</v>
      </c>
      <c r="L18" s="282">
        <f t="shared" ca="1" si="1"/>
        <v>16</v>
      </c>
      <c r="M18" s="282">
        <f t="shared" ca="1" si="2"/>
        <v>1</v>
      </c>
      <c r="N18" s="282">
        <f t="shared" ca="1" si="6"/>
        <v>11</v>
      </c>
      <c r="O18" s="282">
        <f t="shared" ca="1" si="3"/>
        <v>41</v>
      </c>
      <c r="P18" s="282">
        <f t="shared" ca="1" si="4"/>
        <v>0</v>
      </c>
      <c r="Q18" s="289">
        <f t="shared" ca="1" si="5"/>
        <v>-11</v>
      </c>
    </row>
    <row r="19" spans="3:17" ht="22.5" x14ac:dyDescent="0.25">
      <c r="C19" s="285">
        <f ca="1">IF(ROW()-2&gt;Start.listina!$N$7,"",INDIRECT(ADDRESS(ROW(),$D$2,1,1,"Centrum")))</f>
        <v>17</v>
      </c>
      <c r="D19" s="285">
        <f ca="1">IF(ROW()-2&gt;Start.listina!$O$7,"",INDIRECT(ADDRESS(ROW()+Start.listina!$N$7,$D$2,1,1,"Centrum")))</f>
        <v>42</v>
      </c>
      <c r="E19" s="283" t="str">
        <f ca="1">IF(TYPE(VLOOKUP(C19,Centrum!$A$3:$C$130,3,0))&gt;3," - ",VLOOKUP(C19,Centrum!$A$3:$C$130,3,0))</f>
        <v>17 Sokol Kostomlaty - Vyoral Hynek</v>
      </c>
      <c r="F19" s="283" t="str">
        <f ca="1">IF(TYPE(VLOOKUP(D19,Centrum!$A$3:$C$130,3,0))&gt;3," - ",VLOOKUP(D19,Centrum!$A$3:$C$130,3,0))</f>
        <v>42 SK Španielka Řepy - Procházka Josef</v>
      </c>
      <c r="G19" s="463">
        <f>IF(ROW()-2&gt;Start.listina!$O$7,"",ROW()-2)</f>
        <v>17</v>
      </c>
      <c r="H19" s="475">
        <v>13</v>
      </c>
      <c r="I19" s="476">
        <v>4</v>
      </c>
      <c r="K19" s="282">
        <f t="shared" ca="1" si="0"/>
        <v>42</v>
      </c>
      <c r="L19" s="282">
        <f t="shared" ca="1" si="1"/>
        <v>17</v>
      </c>
      <c r="M19" s="282">
        <f t="shared" ca="1" si="2"/>
        <v>1</v>
      </c>
      <c r="N19" s="282">
        <f t="shared" ca="1" si="6"/>
        <v>9</v>
      </c>
      <c r="O19" s="282">
        <f t="shared" ca="1" si="3"/>
        <v>42</v>
      </c>
      <c r="P19" s="282">
        <f t="shared" ca="1" si="4"/>
        <v>0</v>
      </c>
      <c r="Q19" s="289">
        <f t="shared" ca="1" si="5"/>
        <v>-9</v>
      </c>
    </row>
    <row r="20" spans="3:17" ht="22.5" x14ac:dyDescent="0.25">
      <c r="C20" s="285">
        <f ca="1">IF(ROW()-2&gt;Start.listina!$N$7,"",INDIRECT(ADDRESS(ROW(),$D$2,1,1,"Centrum")))</f>
        <v>18</v>
      </c>
      <c r="D20" s="285">
        <f ca="1">IF(ROW()-2&gt;Start.listina!$O$7,"",INDIRECT(ADDRESS(ROW()+Start.listina!$N$7,$D$2,1,1,"Centrum")))</f>
        <v>43</v>
      </c>
      <c r="E20" s="283" t="str">
        <f ca="1">IF(TYPE(VLOOKUP(C20,Centrum!$A$3:$C$130,3,0))&gt;3," - ",VLOOKUP(C20,Centrum!$A$3:$C$130,3,0))</f>
        <v>18 Club Rodamiento - Chmelař Ivo</v>
      </c>
      <c r="F20" s="283" t="str">
        <f ca="1">IF(TYPE(VLOOKUP(D20,Centrum!$A$3:$C$130,3,0))&gt;3," - ",VLOOKUP(D20,Centrum!$A$3:$C$130,3,0))</f>
        <v>43 SK Španielka Řepy - Holoubek Pavel</v>
      </c>
      <c r="G20" s="463">
        <f>IF(ROW()-2&gt;Start.listina!$O$7,"",ROW()-2)</f>
        <v>18</v>
      </c>
      <c r="H20" s="475">
        <v>10</v>
      </c>
      <c r="I20" s="476">
        <v>12</v>
      </c>
      <c r="K20" s="282">
        <f t="shared" ca="1" si="0"/>
        <v>43</v>
      </c>
      <c r="L20" s="282">
        <f t="shared" ca="1" si="1"/>
        <v>18</v>
      </c>
      <c r="M20" s="282">
        <f t="shared" ca="1" si="2"/>
        <v>0</v>
      </c>
      <c r="N20" s="282">
        <f t="shared" ca="1" si="6"/>
        <v>-2</v>
      </c>
      <c r="O20" s="282">
        <f t="shared" ca="1" si="3"/>
        <v>43</v>
      </c>
      <c r="P20" s="282">
        <f t="shared" ca="1" si="4"/>
        <v>1</v>
      </c>
      <c r="Q20" s="289">
        <f t="shared" ca="1" si="5"/>
        <v>2</v>
      </c>
    </row>
    <row r="21" spans="3:17" ht="22.5" x14ac:dyDescent="0.25">
      <c r="C21" s="285">
        <f ca="1">IF(ROW()-2&gt;Start.listina!$N$7,"",INDIRECT(ADDRESS(ROW(),$D$2,1,1,"Centrum")))</f>
        <v>19</v>
      </c>
      <c r="D21" s="285">
        <f ca="1">IF(ROW()-2&gt;Start.listina!$O$7,"",INDIRECT(ADDRESS(ROW()+Start.listina!$N$7,$D$2,1,1,"Centrum")))</f>
        <v>44</v>
      </c>
      <c r="E21" s="283" t="str">
        <f ca="1">IF(TYPE(VLOOKUP(C21,Centrum!$A$3:$C$130,3,0))&gt;3," - ",VLOOKUP(C21,Centrum!$A$3:$C$130,3,0))</f>
        <v>19 Petank Club Praha - Vorel Jan</v>
      </c>
      <c r="F21" s="283" t="str">
        <f ca="1">IF(TYPE(VLOOKUP(D21,Centrum!$A$3:$C$130,3,0))&gt;3," - ",VLOOKUP(D21,Centrum!$A$3:$C$130,3,0))</f>
        <v>44 JAPKO - Vais Martin</v>
      </c>
      <c r="G21" s="463">
        <f>IF(ROW()-2&gt;Start.listina!$O$7,"",ROW()-2)</f>
        <v>19</v>
      </c>
      <c r="H21" s="475">
        <v>13</v>
      </c>
      <c r="I21" s="476">
        <v>12</v>
      </c>
      <c r="K21" s="282">
        <f t="shared" ca="1" si="0"/>
        <v>44</v>
      </c>
      <c r="L21" s="282">
        <f t="shared" ca="1" si="1"/>
        <v>19</v>
      </c>
      <c r="M21" s="282">
        <f t="shared" ca="1" si="2"/>
        <v>1</v>
      </c>
      <c r="N21" s="282">
        <f t="shared" ca="1" si="6"/>
        <v>1</v>
      </c>
      <c r="O21" s="282">
        <f t="shared" ca="1" si="3"/>
        <v>44</v>
      </c>
      <c r="P21" s="282">
        <f t="shared" ca="1" si="4"/>
        <v>0</v>
      </c>
      <c r="Q21" s="289">
        <f t="shared" ca="1" si="5"/>
        <v>-1</v>
      </c>
    </row>
    <row r="22" spans="3:17" ht="22.5" x14ac:dyDescent="0.25">
      <c r="C22" s="285">
        <f ca="1">IF(ROW()-2&gt;Start.listina!$N$7,"",INDIRECT(ADDRESS(ROW(),$D$2,1,1,"Centrum")))</f>
        <v>20</v>
      </c>
      <c r="D22" s="285">
        <f ca="1">IF(ROW()-2&gt;Start.listina!$O$7,"",INDIRECT(ADDRESS(ROW()+Start.listina!$N$7,$D$2,1,1,"Centrum")))</f>
        <v>45</v>
      </c>
      <c r="E22" s="283" t="str">
        <f ca="1">IF(TYPE(VLOOKUP(C22,Centrum!$A$3:$C$130,3,0))&gt;3," - ",VLOOKUP(C22,Centrum!$A$3:$C$130,3,0))</f>
        <v>20 Club Rodamiento - Dlouhá Ivana</v>
      </c>
      <c r="F22" s="283" t="str">
        <f ca="1">IF(TYPE(VLOOKUP(D22,Centrum!$A$3:$C$130,3,0))&gt;3," - ",VLOOKUP(D22,Centrum!$A$3:$C$130,3,0))</f>
        <v>45 Spolek Park Grébovka - Kremlík Miroslav</v>
      </c>
      <c r="G22" s="463">
        <f>IF(ROW()-2&gt;Start.listina!$O$7,"",ROW()-2)</f>
        <v>20</v>
      </c>
      <c r="H22" s="475">
        <v>11</v>
      </c>
      <c r="I22" s="476">
        <v>12</v>
      </c>
      <c r="K22" s="282">
        <f t="shared" ca="1" si="0"/>
        <v>45</v>
      </c>
      <c r="L22" s="282">
        <f t="shared" ca="1" si="1"/>
        <v>20</v>
      </c>
      <c r="M22" s="282">
        <f t="shared" ca="1" si="2"/>
        <v>0</v>
      </c>
      <c r="N22" s="282">
        <f t="shared" ca="1" si="6"/>
        <v>-1</v>
      </c>
      <c r="O22" s="282">
        <f t="shared" ca="1" si="3"/>
        <v>45</v>
      </c>
      <c r="P22" s="282">
        <f t="shared" ca="1" si="4"/>
        <v>1</v>
      </c>
      <c r="Q22" s="289">
        <f t="shared" ca="1" si="5"/>
        <v>1</v>
      </c>
    </row>
    <row r="23" spans="3:17" ht="22.5" x14ac:dyDescent="0.25">
      <c r="C23" s="285">
        <f ca="1">IF(ROW()-2&gt;Start.listina!$N$7,"",INDIRECT(ADDRESS(ROW(),$D$2,1,1,"Centrum")))</f>
        <v>21</v>
      </c>
      <c r="D23" s="285">
        <f ca="1">IF(ROW()-2&gt;Start.listina!$O$7,"",INDIRECT(ADDRESS(ROW()+Start.listina!$N$7,$D$2,1,1,"Centrum")))</f>
        <v>46</v>
      </c>
      <c r="E23" s="283" t="str">
        <f ca="1">IF(TYPE(VLOOKUP(C23,Centrum!$A$3:$C$130,3,0))&gt;3," - ",VLOOKUP(C23,Centrum!$A$3:$C$130,3,0))</f>
        <v>21 JAPKO - Kubík Jaroslav</v>
      </c>
      <c r="F23" s="283" t="str">
        <f ca="1">IF(TYPE(VLOOKUP(D23,Centrum!$A$3:$C$130,3,0))&gt;3," - ",VLOOKUP(D23,Centrum!$A$3:$C$130,3,0))</f>
        <v>46 CdP Loděnice - Hytych Petr</v>
      </c>
      <c r="G23" s="463">
        <f>IF(ROW()-2&gt;Start.listina!$O$7,"",ROW()-2)</f>
        <v>21</v>
      </c>
      <c r="H23" s="475">
        <v>13</v>
      </c>
      <c r="I23" s="476">
        <v>7</v>
      </c>
      <c r="K23" s="282">
        <f t="shared" ca="1" si="0"/>
        <v>46</v>
      </c>
      <c r="L23" s="282">
        <f t="shared" ca="1" si="1"/>
        <v>21</v>
      </c>
      <c r="M23" s="282">
        <f t="shared" ca="1" si="2"/>
        <v>1</v>
      </c>
      <c r="N23" s="282">
        <f t="shared" ca="1" si="6"/>
        <v>6</v>
      </c>
      <c r="O23" s="282">
        <f t="shared" ca="1" si="3"/>
        <v>46</v>
      </c>
      <c r="P23" s="282">
        <f t="shared" ca="1" si="4"/>
        <v>0</v>
      </c>
      <c r="Q23" s="289">
        <f t="shared" ca="1" si="5"/>
        <v>-6</v>
      </c>
    </row>
    <row r="24" spans="3:17" ht="22.5" x14ac:dyDescent="0.25">
      <c r="C24" s="285">
        <f ca="1">IF(ROW()-2&gt;Start.listina!$N$7,"",INDIRECT(ADDRESS(ROW(),$D$2,1,1,"Centrum")))</f>
        <v>22</v>
      </c>
      <c r="D24" s="285">
        <f ca="1">IF(ROW()-2&gt;Start.listina!$O$7,"",INDIRECT(ADDRESS(ROW()+Start.listina!$N$7,$D$2,1,1,"Centrum")))</f>
        <v>47</v>
      </c>
      <c r="E24" s="283" t="str">
        <f ca="1">IF(TYPE(VLOOKUP(C24,Centrum!$A$3:$C$130,3,0))&gt;3," - ",VLOOKUP(C24,Centrum!$A$3:$C$130,3,0))</f>
        <v>22 UBU Únětice - Palas Pavel</v>
      </c>
      <c r="F24" s="283" t="str">
        <f ca="1">IF(TYPE(VLOOKUP(D24,Centrum!$A$3:$C$130,3,0))&gt;3," - ",VLOOKUP(D24,Centrum!$A$3:$C$130,3,0))</f>
        <v>47 Club Rodamiento - Soukupová Irena</v>
      </c>
      <c r="G24" s="463">
        <f>IF(ROW()-2&gt;Start.listina!$O$7,"",ROW()-2)</f>
        <v>22</v>
      </c>
      <c r="H24" s="475">
        <v>13</v>
      </c>
      <c r="I24" s="476">
        <v>10</v>
      </c>
      <c r="K24" s="282">
        <f t="shared" ca="1" si="0"/>
        <v>47</v>
      </c>
      <c r="L24" s="282">
        <f t="shared" ca="1" si="1"/>
        <v>22</v>
      </c>
      <c r="M24" s="282">
        <f t="shared" ca="1" si="2"/>
        <v>1</v>
      </c>
      <c r="N24" s="282">
        <f t="shared" ca="1" si="6"/>
        <v>3</v>
      </c>
      <c r="O24" s="282">
        <f t="shared" ca="1" si="3"/>
        <v>47</v>
      </c>
      <c r="P24" s="282">
        <f t="shared" ca="1" si="4"/>
        <v>0</v>
      </c>
      <c r="Q24" s="289">
        <f t="shared" ca="1" si="5"/>
        <v>-3</v>
      </c>
    </row>
    <row r="25" spans="3:17" ht="22.5" x14ac:dyDescent="0.25">
      <c r="C25" s="285">
        <f ca="1">IF(ROW()-2&gt;Start.listina!$N$7,"",INDIRECT(ADDRESS(ROW(),$D$2,1,1,"Centrum")))</f>
        <v>23</v>
      </c>
      <c r="D25" s="285">
        <f ca="1">IF(ROW()-2&gt;Start.listina!$O$7,"",INDIRECT(ADDRESS(ROW()+Start.listina!$N$7,$D$2,1,1,"Centrum")))</f>
        <v>48</v>
      </c>
      <c r="E25" s="283" t="str">
        <f ca="1">IF(TYPE(VLOOKUP(C25,Centrum!$A$3:$C$130,3,0))&gt;3," - ",VLOOKUP(C25,Centrum!$A$3:$C$130,3,0))</f>
        <v>23 CdP Loděnice - Vedralová Kateřina</v>
      </c>
      <c r="F25" s="283" t="str">
        <f ca="1">IF(TYPE(VLOOKUP(D25,Centrum!$A$3:$C$130,3,0))&gt;3," - ",VLOOKUP(D25,Centrum!$A$3:$C$130,3,0))</f>
        <v>48 SK Španielka Řepy - Pastorek Jaroslav</v>
      </c>
      <c r="G25" s="463">
        <f>IF(ROW()-2&gt;Start.listina!$O$7,"",ROW()-2)</f>
        <v>23</v>
      </c>
      <c r="H25" s="475">
        <v>13</v>
      </c>
      <c r="I25" s="476">
        <v>5</v>
      </c>
      <c r="K25" s="282">
        <f t="shared" ca="1" si="0"/>
        <v>48</v>
      </c>
      <c r="L25" s="282">
        <f t="shared" ca="1" si="1"/>
        <v>23</v>
      </c>
      <c r="M25" s="282">
        <f t="shared" ca="1" si="2"/>
        <v>1</v>
      </c>
      <c r="N25" s="282">
        <f t="shared" ca="1" si="6"/>
        <v>8</v>
      </c>
      <c r="O25" s="282">
        <f t="shared" ca="1" si="3"/>
        <v>48</v>
      </c>
      <c r="P25" s="282">
        <f t="shared" ca="1" si="4"/>
        <v>0</v>
      </c>
      <c r="Q25" s="289">
        <f t="shared" ca="1" si="5"/>
        <v>-8</v>
      </c>
    </row>
    <row r="26" spans="3:17" ht="22.5" x14ac:dyDescent="0.25">
      <c r="C26" s="285">
        <f ca="1">IF(ROW()-2&gt;Start.listina!$N$7,"",INDIRECT(ADDRESS(ROW(),$D$2,1,1,"Centrum")))</f>
        <v>24</v>
      </c>
      <c r="D26" s="285">
        <f ca="1">IF(ROW()-2&gt;Start.listina!$O$7,"",INDIRECT(ADDRESS(ROW()+Start.listina!$N$7,$D$2,1,1,"Centrum")))</f>
        <v>49</v>
      </c>
      <c r="E26" s="283" t="str">
        <f ca="1">IF(TYPE(VLOOKUP(C26,Centrum!$A$3:$C$130,3,0))&gt;3," - ",VLOOKUP(C26,Centrum!$A$3:$C$130,3,0))</f>
        <v>24 CdP Loděnice - Čermák Jiří</v>
      </c>
      <c r="F26" s="283" t="str">
        <f ca="1">IF(TYPE(VLOOKUP(D26,Centrum!$A$3:$C$130,3,0))&gt;3," - ",VLOOKUP(D26,Centrum!$A$3:$C$130,3,0))</f>
        <v>49 SK Španielka Řepy - Řezník Alois</v>
      </c>
      <c r="G26" s="463">
        <f>IF(ROW()-2&gt;Start.listina!$O$7,"",ROW()-2)</f>
        <v>24</v>
      </c>
      <c r="H26" s="475">
        <v>13</v>
      </c>
      <c r="I26" s="476">
        <v>7</v>
      </c>
      <c r="K26" s="282">
        <f t="shared" ca="1" si="0"/>
        <v>49</v>
      </c>
      <c r="L26" s="282">
        <f t="shared" ca="1" si="1"/>
        <v>24</v>
      </c>
      <c r="M26" s="282">
        <f t="shared" ca="1" si="2"/>
        <v>1</v>
      </c>
      <c r="N26" s="282">
        <f t="shared" ca="1" si="6"/>
        <v>6</v>
      </c>
      <c r="O26" s="282">
        <f t="shared" ca="1" si="3"/>
        <v>49</v>
      </c>
      <c r="P26" s="282">
        <f t="shared" ca="1" si="4"/>
        <v>0</v>
      </c>
      <c r="Q26" s="289">
        <f t="shared" ca="1" si="5"/>
        <v>-6</v>
      </c>
    </row>
    <row r="27" spans="3:17" ht="22.5" x14ac:dyDescent="0.25">
      <c r="C27" s="285">
        <f ca="1">IF(ROW()-2&gt;Start.listina!$N$7,"",INDIRECT(ADDRESS(ROW(),$D$2,1,1,"Centrum")))</f>
        <v>25</v>
      </c>
      <c r="D27" s="285">
        <f ca="1">IF(ROW()-2&gt;Start.listina!$O$7,"",INDIRECT(ADDRESS(ROW()+Start.listina!$N$7,$D$2,1,1,"Centrum")))</f>
        <v>50</v>
      </c>
      <c r="E27" s="283" t="str">
        <f ca="1">IF(TYPE(VLOOKUP(C27,Centrum!$A$3:$C$130,3,0))&gt;3," - ",VLOOKUP(C27,Centrum!$A$3:$C$130,3,0))</f>
        <v>25 PK Osika Plzeň - Špitálský Milan</v>
      </c>
      <c r="F27" s="283" t="str">
        <f ca="1">IF(TYPE(VLOOKUP(D27,Centrum!$A$3:$C$130,3,0))&gt;3," - ",VLOOKUP(D27,Centrum!$A$3:$C$130,3,0))</f>
        <v>50 SK Španielka Řepy - Čaněk Radovan</v>
      </c>
      <c r="G27" s="463">
        <f>IF(ROW()-2&gt;Start.listina!$O$7,"",ROW()-2)</f>
        <v>25</v>
      </c>
      <c r="H27" s="475">
        <v>12</v>
      </c>
      <c r="I27" s="476">
        <v>13</v>
      </c>
      <c r="K27" s="282">
        <f t="shared" ca="1" si="0"/>
        <v>50</v>
      </c>
      <c r="L27" s="282">
        <f t="shared" ca="1" si="1"/>
        <v>25</v>
      </c>
      <c r="M27" s="282">
        <f t="shared" ca="1" si="2"/>
        <v>0</v>
      </c>
      <c r="N27" s="282">
        <f t="shared" ca="1" si="6"/>
        <v>-1</v>
      </c>
      <c r="O27" s="282">
        <f t="shared" ca="1" si="3"/>
        <v>50</v>
      </c>
      <c r="P27" s="282">
        <f t="shared" ca="1" si="4"/>
        <v>1</v>
      </c>
      <c r="Q27" s="289">
        <f t="shared" ca="1" si="5"/>
        <v>1</v>
      </c>
    </row>
    <row r="28" spans="3:17" ht="22.5" x14ac:dyDescent="0.25">
      <c r="C28" s="285" t="str">
        <f ca="1">IF(ROW()-2&gt;Start.listina!$N$7,"",INDIRECT(ADDRESS(ROW(),$D$2,1,1,"Centrum")))</f>
        <v/>
      </c>
      <c r="D28" s="285">
        <f ca="1">IF(ROW()-2&gt;Start.listina!$O$7,"",INDIRECT(ADDRESS(ROW()+Start.listina!$N$7,$D$2,1,1,"Centrum")))</f>
        <v>51</v>
      </c>
      <c r="E28" s="283" t="str">
        <f ca="1">IF(TYPE(VLOOKUP(C28,Centrum!$A$3:$C$130,3,0))&gt;3," - ",VLOOKUP(C28,Centrum!$A$3:$C$130,3,0))</f>
        <v xml:space="preserve"> - </v>
      </c>
      <c r="F28" s="283" t="str">
        <f ca="1">IF(TYPE(VLOOKUP(D28,Centrum!$A$3:$C$130,3,0))&gt;3," - ",VLOOKUP(D28,Centrum!$A$3:$C$130,3,0))</f>
        <v>51 CdP Loděnice - Tyrol Pavel</v>
      </c>
      <c r="G28" s="463">
        <f>IF(ROW()-2&gt;Start.listina!$O$7,"",ROW()-2)</f>
        <v>26</v>
      </c>
      <c r="H28" s="475">
        <v>7</v>
      </c>
      <c r="I28" s="476">
        <v>13</v>
      </c>
      <c r="K28" s="282">
        <f t="shared" ca="1" si="0"/>
        <v>51</v>
      </c>
      <c r="L28" s="282" t="str">
        <f t="shared" ca="1" si="1"/>
        <v/>
      </c>
      <c r="M28" s="282">
        <f t="shared" ca="1" si="2"/>
        <v>0</v>
      </c>
      <c r="N28" s="282">
        <f t="shared" ca="1" si="6"/>
        <v>0</v>
      </c>
      <c r="O28" s="282">
        <f t="shared" ca="1" si="3"/>
        <v>51</v>
      </c>
      <c r="P28" s="282">
        <f t="shared" ca="1" si="4"/>
        <v>1</v>
      </c>
      <c r="Q28" s="289">
        <f t="shared" ca="1" si="5"/>
        <v>6</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475"/>
      <c r="I29" s="476"/>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475"/>
      <c r="I30" s="476"/>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475"/>
      <c r="I31" s="476"/>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475"/>
      <c r="I32" s="476"/>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475"/>
      <c r="I33" s="476"/>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28"/>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872</v>
      </c>
      <c r="F1" s="284" t="str">
        <f>Start.listina!$K$4</f>
        <v>Memoriál CdP Loděnice</v>
      </c>
      <c r="G1" s="1"/>
      <c r="H1" s="489" t="str">
        <f>Start.listina!$K$3</f>
        <v>16.07.2016</v>
      </c>
      <c r="I1" s="489"/>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854</v>
      </c>
      <c r="F2" s="8" t="s">
        <v>855</v>
      </c>
      <c r="G2" s="280" t="s">
        <v>1017</v>
      </c>
      <c r="H2" s="491" t="s">
        <v>853</v>
      </c>
      <c r="I2" s="492"/>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7</v>
      </c>
      <c r="D3" s="285">
        <f ca="1">IF(ROW()-2&gt;Start.listina!$O$7,"",INDIRECT(ADDRESS(4+(ROW()-3)*2,$D$2,1,1,"Centrum")))</f>
        <v>11</v>
      </c>
      <c r="E3" s="283" t="str">
        <f ca="1">IF(TYPE(VLOOKUP(C3,Centrum!$A$3:$C$130,3,0))&gt;3," - ",VLOOKUP(C3,Centrum!$A$3:$C$130,3,0))</f>
        <v>7 PC Kolová - Kacerovský Ivo</v>
      </c>
      <c r="F3" s="283" t="str">
        <f ca="1">IF(TYPE(VLOOKUP(D3,Centrum!$A$3:$C$130,3,0))&gt;3," - ",VLOOKUP(D3,Centrum!$A$3:$C$130,3,0))</f>
        <v>11 PC Sokol Lipník - Froňková Blanka</v>
      </c>
      <c r="G3" s="463">
        <f>IF(ROW()-2&gt;Start.listina!$O$7,"",ROW()-2)</f>
        <v>1</v>
      </c>
      <c r="H3" s="475">
        <v>4</v>
      </c>
      <c r="I3" s="476">
        <v>13</v>
      </c>
      <c r="K3" s="282">
        <f t="shared" ref="K3:K65" ca="1" si="0">IF(TRIM($F3)="-","",$D3)</f>
        <v>11</v>
      </c>
      <c r="L3" s="282">
        <f t="shared" ref="L3:L65" ca="1" si="1">IF(TRIM($E3)="-","",$C3)</f>
        <v>7</v>
      </c>
      <c r="M3" s="282">
        <f t="shared" ref="M3:M65" ca="1" si="2">IF(AND(TRIM($E3)&lt;&gt;"-",$H3&gt;$I3),1,0)</f>
        <v>0</v>
      </c>
      <c r="N3" s="282">
        <f ca="1">IF(TRIM($E3)="-",0,$H3-$I3)</f>
        <v>-9</v>
      </c>
      <c r="O3" s="282">
        <f t="shared" ref="O3:O65" ca="1" si="3">IF(TRIM($F3)="-","",$D3)</f>
        <v>11</v>
      </c>
      <c r="P3" s="282">
        <f t="shared" ref="P3:P65" ca="1" si="4">IF(AND(TRIM($F3)&lt;&gt;"-",$I3&gt;$H3),1,0)</f>
        <v>1</v>
      </c>
      <c r="Q3" s="288">
        <f t="shared" ref="Q3:Q65" ca="1" si="5">IF(TRIM($F3)="-",0,$I3-$H3)</f>
        <v>9</v>
      </c>
    </row>
    <row r="4" spans="3:35" ht="22.5" x14ac:dyDescent="0.25">
      <c r="C4" s="285">
        <f ca="1">IF(ROW()-2&gt;Start.listina!$O$7,"",INDIRECT(ADDRESS(3+(ROW()-3)*2,$D$2,1,1,"Centrum")))</f>
        <v>2</v>
      </c>
      <c r="D4" s="285">
        <f ca="1">IF(ROW()-2&gt;Start.listina!$O$7,"",INDIRECT(ADDRESS(4+(ROW()-3)*2,$D$2,1,1,"Centrum")))</f>
        <v>23</v>
      </c>
      <c r="E4" s="283" t="str">
        <f ca="1">IF(TYPE(VLOOKUP(C4,Centrum!$A$3:$C$130,3,0))&gt;3," - ",VLOOKUP(C4,Centrum!$A$3:$C$130,3,0))</f>
        <v>2 PC Sokol Lipník - Fafek Petr</v>
      </c>
      <c r="F4" s="283" t="str">
        <f ca="1">IF(TYPE(VLOOKUP(D4,Centrum!$A$3:$C$130,3,0))&gt;3," - ",VLOOKUP(D4,Centrum!$A$3:$C$130,3,0))</f>
        <v>23 CdP Loděnice - Vedralová Kateřina</v>
      </c>
      <c r="G4" s="463">
        <f>IF(ROW()-2&gt;Start.listina!$O$7,"",ROW()-2)</f>
        <v>2</v>
      </c>
      <c r="H4" s="475">
        <v>13</v>
      </c>
      <c r="I4" s="476">
        <v>4</v>
      </c>
      <c r="K4" s="282">
        <f t="shared" ca="1" si="0"/>
        <v>23</v>
      </c>
      <c r="L4" s="282">
        <f t="shared" ca="1" si="1"/>
        <v>2</v>
      </c>
      <c r="M4" s="282">
        <f t="shared" ca="1" si="2"/>
        <v>1</v>
      </c>
      <c r="N4" s="282">
        <f t="shared" ref="N4:N66" ca="1" si="6">IF(TRIM($E4)="-",0,$H4-$I4)</f>
        <v>9</v>
      </c>
      <c r="O4" s="282">
        <f t="shared" ca="1" si="3"/>
        <v>23</v>
      </c>
      <c r="P4" s="282">
        <f t="shared" ca="1" si="4"/>
        <v>0</v>
      </c>
      <c r="Q4" s="289">
        <f t="shared" ca="1" si="5"/>
        <v>-9</v>
      </c>
    </row>
    <row r="5" spans="3:35" ht="22.5" x14ac:dyDescent="0.25">
      <c r="C5" s="285">
        <f ca="1">IF(ROW()-2&gt;Start.listina!$O$7,"",INDIRECT(ADDRESS(3+(ROW()-3)*2,$D$2,1,1,"Centrum")))</f>
        <v>12</v>
      </c>
      <c r="D5" s="285">
        <f ca="1">IF(ROW()-2&gt;Start.listina!$O$7,"",INDIRECT(ADDRESS(4+(ROW()-3)*2,$D$2,1,1,"Centrum")))</f>
        <v>51</v>
      </c>
      <c r="E5" s="283" t="str">
        <f ca="1">IF(TYPE(VLOOKUP(C5,Centrum!$A$3:$C$130,3,0))&gt;3," - ",VLOOKUP(C5,Centrum!$A$3:$C$130,3,0))</f>
        <v>12 CdP Loděnice - Marhoul Jan</v>
      </c>
      <c r="F5" s="283" t="str">
        <f ca="1">IF(TYPE(VLOOKUP(D5,Centrum!$A$3:$C$130,3,0))&gt;3," - ",VLOOKUP(D5,Centrum!$A$3:$C$130,3,0))</f>
        <v>51 CdP Loděnice - Tyrol Pavel</v>
      </c>
      <c r="G5" s="463">
        <f>IF(ROW()-2&gt;Start.listina!$O$7,"",ROW()-2)</f>
        <v>3</v>
      </c>
      <c r="H5" s="475">
        <v>13</v>
      </c>
      <c r="I5" s="476">
        <v>5</v>
      </c>
      <c r="K5" s="282">
        <f t="shared" ca="1" si="0"/>
        <v>51</v>
      </c>
      <c r="L5" s="282">
        <f t="shared" ca="1" si="1"/>
        <v>12</v>
      </c>
      <c r="M5" s="282">
        <f t="shared" ca="1" si="2"/>
        <v>1</v>
      </c>
      <c r="N5" s="282">
        <f t="shared" ca="1" si="6"/>
        <v>8</v>
      </c>
      <c r="O5" s="282">
        <f t="shared" ca="1" si="3"/>
        <v>51</v>
      </c>
      <c r="P5" s="282">
        <f t="shared" ca="1" si="4"/>
        <v>0</v>
      </c>
      <c r="Q5" s="289">
        <f t="shared" ca="1" si="5"/>
        <v>-8</v>
      </c>
    </row>
    <row r="6" spans="3:35" ht="22.5" x14ac:dyDescent="0.25">
      <c r="C6" s="285">
        <f ca="1">IF(ROW()-2&gt;Start.listina!$O$7,"",INDIRECT(ADDRESS(3+(ROW()-3)*2,$D$2,1,1,"Centrum")))</f>
        <v>5</v>
      </c>
      <c r="D6" s="285">
        <f ca="1">IF(ROW()-2&gt;Start.listina!$O$7,"",INDIRECT(ADDRESS(4+(ROW()-3)*2,$D$2,1,1,"Centrum")))</f>
        <v>24</v>
      </c>
      <c r="E6" s="283" t="str">
        <f ca="1">IF(TYPE(VLOOKUP(C6,Centrum!$A$3:$C$130,3,0))&gt;3," - ",VLOOKUP(C6,Centrum!$A$3:$C$130,3,0))</f>
        <v>5 PK Osika Plzeň - Valenz Jan</v>
      </c>
      <c r="F6" s="283" t="str">
        <f ca="1">IF(TYPE(VLOOKUP(D6,Centrum!$A$3:$C$130,3,0))&gt;3," - ",VLOOKUP(D6,Centrum!$A$3:$C$130,3,0))</f>
        <v>24 CdP Loděnice - Čermák Jiří</v>
      </c>
      <c r="G6" s="463">
        <f>IF(ROW()-2&gt;Start.listina!$O$7,"",ROW()-2)</f>
        <v>4</v>
      </c>
      <c r="H6" s="475">
        <v>1</v>
      </c>
      <c r="I6" s="476">
        <v>13</v>
      </c>
      <c r="K6" s="282">
        <f t="shared" ca="1" si="0"/>
        <v>24</v>
      </c>
      <c r="L6" s="282">
        <f t="shared" ca="1" si="1"/>
        <v>5</v>
      </c>
      <c r="M6" s="282">
        <f t="shared" ca="1" si="2"/>
        <v>0</v>
      </c>
      <c r="N6" s="282">
        <f t="shared" ca="1" si="6"/>
        <v>-12</v>
      </c>
      <c r="O6" s="282">
        <f t="shared" ca="1" si="3"/>
        <v>24</v>
      </c>
      <c r="P6" s="282">
        <f t="shared" ca="1" si="4"/>
        <v>1</v>
      </c>
      <c r="Q6" s="289">
        <f t="shared" ca="1" si="5"/>
        <v>12</v>
      </c>
    </row>
    <row r="7" spans="3:35" ht="22.5" x14ac:dyDescent="0.25">
      <c r="C7" s="285">
        <f ca="1">IF(ROW()-2&gt;Start.listina!$O$7,"",INDIRECT(ADDRESS(3+(ROW()-3)*2,$D$2,1,1,"Centrum")))</f>
        <v>1</v>
      </c>
      <c r="D7" s="285">
        <f ca="1">IF(ROW()-2&gt;Start.listina!$O$7,"",INDIRECT(ADDRESS(4+(ROW()-3)*2,$D$2,1,1,"Centrum")))</f>
        <v>22</v>
      </c>
      <c r="E7" s="283" t="str">
        <f ca="1">IF(TYPE(VLOOKUP(C7,Centrum!$A$3:$C$130,3,0))&gt;3," - ",VLOOKUP(C7,Centrum!$A$3:$C$130,3,0))</f>
        <v>1 PC Sokol Lipník - Morávek Petr</v>
      </c>
      <c r="F7" s="283" t="str">
        <f ca="1">IF(TYPE(VLOOKUP(D7,Centrum!$A$3:$C$130,3,0))&gt;3," - ",VLOOKUP(D7,Centrum!$A$3:$C$130,3,0))</f>
        <v>22 UBU Únětice - Palas Pavel</v>
      </c>
      <c r="G7" s="463">
        <f>IF(ROW()-2&gt;Start.listina!$O$7,"",ROW()-2)</f>
        <v>5</v>
      </c>
      <c r="H7" s="475">
        <v>3</v>
      </c>
      <c r="I7" s="476">
        <v>13</v>
      </c>
      <c r="K7" s="282">
        <f t="shared" ca="1" si="0"/>
        <v>22</v>
      </c>
      <c r="L7" s="282">
        <f t="shared" ca="1" si="1"/>
        <v>1</v>
      </c>
      <c r="M7" s="282">
        <f t="shared" ca="1" si="2"/>
        <v>0</v>
      </c>
      <c r="N7" s="282">
        <f t="shared" ca="1" si="6"/>
        <v>-10</v>
      </c>
      <c r="O7" s="282">
        <f t="shared" ca="1" si="3"/>
        <v>22</v>
      </c>
      <c r="P7" s="282">
        <f t="shared" ca="1" si="4"/>
        <v>1</v>
      </c>
      <c r="Q7" s="289">
        <f t="shared" ca="1" si="5"/>
        <v>10</v>
      </c>
    </row>
    <row r="8" spans="3:35" ht="22.5" x14ac:dyDescent="0.25">
      <c r="C8" s="285">
        <f ca="1">IF(ROW()-2&gt;Start.listina!$O$7,"",INDIRECT(ADDRESS(3+(ROW()-3)*2,$D$2,1,1,"Centrum")))</f>
        <v>13</v>
      </c>
      <c r="D8" s="285">
        <f ca="1">IF(ROW()-2&gt;Start.listina!$O$7,"",INDIRECT(ADDRESS(4+(ROW()-3)*2,$D$2,1,1,"Centrum")))</f>
        <v>3</v>
      </c>
      <c r="E8" s="283" t="str">
        <f ca="1">IF(TYPE(VLOOKUP(C8,Centrum!$A$3:$C$130,3,0))&gt;3," - ",VLOOKUP(C8,Centrum!$A$3:$C$130,3,0))</f>
        <v>13 PC Sokol Lipník - Fafková Jana</v>
      </c>
      <c r="F8" s="283" t="str">
        <f ca="1">IF(TYPE(VLOOKUP(D8,Centrum!$A$3:$C$130,3,0))&gt;3," - ",VLOOKUP(D8,Centrum!$A$3:$C$130,3,0))</f>
        <v>3 Petank Club Praha - Klír Tomáš</v>
      </c>
      <c r="G8" s="463">
        <f>IF(ROW()-2&gt;Start.listina!$O$7,"",ROW()-2)</f>
        <v>6</v>
      </c>
      <c r="H8" s="475">
        <v>2</v>
      </c>
      <c r="I8" s="476">
        <v>13</v>
      </c>
      <c r="K8" s="282">
        <f t="shared" ca="1" si="0"/>
        <v>3</v>
      </c>
      <c r="L8" s="282">
        <f t="shared" ca="1" si="1"/>
        <v>13</v>
      </c>
      <c r="M8" s="282">
        <f t="shared" ca="1" si="2"/>
        <v>0</v>
      </c>
      <c r="N8" s="282">
        <f t="shared" ca="1" si="6"/>
        <v>-11</v>
      </c>
      <c r="O8" s="282">
        <f t="shared" ca="1" si="3"/>
        <v>3</v>
      </c>
      <c r="P8" s="282">
        <f t="shared" ca="1" si="4"/>
        <v>1</v>
      </c>
      <c r="Q8" s="289">
        <f t="shared" ca="1" si="5"/>
        <v>11</v>
      </c>
    </row>
    <row r="9" spans="3:35" ht="22.5" x14ac:dyDescent="0.25">
      <c r="C9" s="285">
        <f ca="1">IF(ROW()-2&gt;Start.listina!$O$7,"",INDIRECT(ADDRESS(3+(ROW()-3)*2,$D$2,1,1,"Centrum")))</f>
        <v>45</v>
      </c>
      <c r="D9" s="285">
        <f ca="1">IF(ROW()-2&gt;Start.listina!$O$7,"",INDIRECT(ADDRESS(4+(ROW()-3)*2,$D$2,1,1,"Centrum")))</f>
        <v>8</v>
      </c>
      <c r="E9" s="283" t="str">
        <f ca="1">IF(TYPE(VLOOKUP(C9,Centrum!$A$3:$C$130,3,0))&gt;3," - ",VLOOKUP(C9,Centrum!$A$3:$C$130,3,0))</f>
        <v>45 Spolek Park Grébovka - Kremlík Miroslav</v>
      </c>
      <c r="F9" s="283" t="str">
        <f ca="1">IF(TYPE(VLOOKUP(D9,Centrum!$A$3:$C$130,3,0))&gt;3," - ",VLOOKUP(D9,Centrum!$A$3:$C$130,3,0))</f>
        <v>8 CdP Loděnice - Mrázek Petr</v>
      </c>
      <c r="G9" s="463">
        <f>IF(ROW()-2&gt;Start.listina!$O$7,"",ROW()-2)</f>
        <v>7</v>
      </c>
      <c r="H9" s="475">
        <v>13</v>
      </c>
      <c r="I9" s="476">
        <v>9</v>
      </c>
      <c r="K9" s="282">
        <f t="shared" ca="1" si="0"/>
        <v>8</v>
      </c>
      <c r="L9" s="282">
        <f t="shared" ca="1" si="1"/>
        <v>45</v>
      </c>
      <c r="M9" s="282">
        <f t="shared" ca="1" si="2"/>
        <v>1</v>
      </c>
      <c r="N9" s="282">
        <f t="shared" ca="1" si="6"/>
        <v>4</v>
      </c>
      <c r="O9" s="282">
        <f t="shared" ca="1" si="3"/>
        <v>8</v>
      </c>
      <c r="P9" s="282">
        <f t="shared" ca="1" si="4"/>
        <v>0</v>
      </c>
      <c r="Q9" s="289">
        <f t="shared" ca="1" si="5"/>
        <v>-4</v>
      </c>
    </row>
    <row r="10" spans="3:35" ht="22.5" x14ac:dyDescent="0.25">
      <c r="C10" s="285">
        <f ca="1">IF(ROW()-2&gt;Start.listina!$O$7,"",INDIRECT(ADDRESS(3+(ROW()-3)*2,$D$2,1,1,"Centrum")))</f>
        <v>9</v>
      </c>
      <c r="D10" s="285">
        <f ca="1">IF(ROW()-2&gt;Start.listina!$O$7,"",INDIRECT(ADDRESS(4+(ROW()-3)*2,$D$2,1,1,"Centrum")))</f>
        <v>17</v>
      </c>
      <c r="E10" s="283" t="str">
        <f ca="1">IF(TYPE(VLOOKUP(C10,Centrum!$A$3:$C$130,3,0))&gt;3," - ",VLOOKUP(C10,Centrum!$A$3:$C$130,3,0))</f>
        <v>9 PK Osika Plzeň - Mráz Václav</v>
      </c>
      <c r="F10" s="283" t="str">
        <f ca="1">IF(TYPE(VLOOKUP(D10,Centrum!$A$3:$C$130,3,0))&gt;3," - ",VLOOKUP(D10,Centrum!$A$3:$C$130,3,0))</f>
        <v>17 Sokol Kostomlaty - Vyoral Hynek</v>
      </c>
      <c r="G10" s="463">
        <f>IF(ROW()-2&gt;Start.listina!$O$7,"",ROW()-2)</f>
        <v>8</v>
      </c>
      <c r="H10" s="475">
        <v>12</v>
      </c>
      <c r="I10" s="476">
        <v>9</v>
      </c>
      <c r="K10" s="282">
        <f t="shared" ca="1" si="0"/>
        <v>17</v>
      </c>
      <c r="L10" s="282">
        <f t="shared" ca="1" si="1"/>
        <v>9</v>
      </c>
      <c r="M10" s="282">
        <f t="shared" ca="1" si="2"/>
        <v>1</v>
      </c>
      <c r="N10" s="282">
        <f t="shared" ca="1" si="6"/>
        <v>3</v>
      </c>
      <c r="O10" s="282">
        <f t="shared" ca="1" si="3"/>
        <v>17</v>
      </c>
      <c r="P10" s="282">
        <f t="shared" ca="1" si="4"/>
        <v>0</v>
      </c>
      <c r="Q10" s="289">
        <f t="shared" ca="1" si="5"/>
        <v>-3</v>
      </c>
    </row>
    <row r="11" spans="3:35" ht="22.5" x14ac:dyDescent="0.25">
      <c r="C11" s="285">
        <f ca="1">IF(ROW()-2&gt;Start.listina!$O$7,"",INDIRECT(ADDRESS(3+(ROW()-3)*2,$D$2,1,1,"Centrum")))</f>
        <v>16</v>
      </c>
      <c r="D11" s="285">
        <f ca="1">IF(ROW()-2&gt;Start.listina!$O$7,"",INDIRECT(ADDRESS(4+(ROW()-3)*2,$D$2,1,1,"Centrum")))</f>
        <v>40</v>
      </c>
      <c r="E11" s="283" t="str">
        <f ca="1">IF(TYPE(VLOOKUP(C11,Centrum!$A$3:$C$130,3,0))&gt;3," - ",VLOOKUP(C11,Centrum!$A$3:$C$130,3,0))</f>
        <v>16 FRAPECO - Felčárek Jaroslav</v>
      </c>
      <c r="F11" s="283" t="str">
        <f ca="1">IF(TYPE(VLOOKUP(D11,Centrum!$A$3:$C$130,3,0))&gt;3," - ",VLOOKUP(D11,Centrum!$A$3:$C$130,3,0))</f>
        <v>40 SKP Kulová osma - Fárová Helena</v>
      </c>
      <c r="G11" s="463">
        <f>IF(ROW()-2&gt;Start.listina!$O$7,"",ROW()-2)</f>
        <v>9</v>
      </c>
      <c r="H11" s="475">
        <v>13</v>
      </c>
      <c r="I11" s="476">
        <v>8</v>
      </c>
      <c r="K11" s="282">
        <f t="shared" ca="1" si="0"/>
        <v>40</v>
      </c>
      <c r="L11" s="282">
        <f t="shared" ca="1" si="1"/>
        <v>16</v>
      </c>
      <c r="M11" s="282">
        <f t="shared" ca="1" si="2"/>
        <v>1</v>
      </c>
      <c r="N11" s="282">
        <f t="shared" ca="1" si="6"/>
        <v>5</v>
      </c>
      <c r="O11" s="282">
        <f t="shared" ca="1" si="3"/>
        <v>40</v>
      </c>
      <c r="P11" s="282">
        <f t="shared" ca="1" si="4"/>
        <v>0</v>
      </c>
      <c r="Q11" s="289">
        <f t="shared" ca="1" si="5"/>
        <v>-5</v>
      </c>
    </row>
    <row r="12" spans="3:35" ht="22.5" x14ac:dyDescent="0.25">
      <c r="C12" s="285">
        <f ca="1">IF(ROW()-2&gt;Start.listina!$O$7,"",INDIRECT(ADDRESS(3+(ROW()-3)*2,$D$2,1,1,"Centrum")))</f>
        <v>4</v>
      </c>
      <c r="D12" s="285">
        <f ca="1">IF(ROW()-2&gt;Start.listina!$O$7,"",INDIRECT(ADDRESS(4+(ROW()-3)*2,$D$2,1,1,"Centrum")))</f>
        <v>10</v>
      </c>
      <c r="E12" s="283" t="str">
        <f ca="1">IF(TYPE(VLOOKUP(C12,Centrum!$A$3:$C$130,3,0))&gt;3," - ",VLOOKUP(C12,Centrum!$A$3:$C$130,3,0))</f>
        <v>4 1. KPK Vrchlabí - Brázda Vladimír</v>
      </c>
      <c r="F12" s="283" t="str">
        <f ca="1">IF(TYPE(VLOOKUP(D12,Centrum!$A$3:$C$130,3,0))&gt;3," - ",VLOOKUP(D12,Centrum!$A$3:$C$130,3,0))</f>
        <v>10 PC Kolová - Plucar Petr</v>
      </c>
      <c r="G12" s="463">
        <f>IF(ROW()-2&gt;Start.listina!$O$7,"",ROW()-2)</f>
        <v>10</v>
      </c>
      <c r="H12" s="475">
        <v>13</v>
      </c>
      <c r="I12" s="476">
        <v>11</v>
      </c>
      <c r="K12" s="282">
        <f t="shared" ca="1" si="0"/>
        <v>10</v>
      </c>
      <c r="L12" s="282">
        <f t="shared" ca="1" si="1"/>
        <v>4</v>
      </c>
      <c r="M12" s="282">
        <f t="shared" ca="1" si="2"/>
        <v>1</v>
      </c>
      <c r="N12" s="282">
        <f t="shared" ca="1" si="6"/>
        <v>2</v>
      </c>
      <c r="O12" s="282">
        <f t="shared" ca="1" si="3"/>
        <v>10</v>
      </c>
      <c r="P12" s="282">
        <f t="shared" ca="1" si="4"/>
        <v>0</v>
      </c>
      <c r="Q12" s="289">
        <f t="shared" ca="1" si="5"/>
        <v>-2</v>
      </c>
    </row>
    <row r="13" spans="3:35" ht="22.5" x14ac:dyDescent="0.25">
      <c r="C13" s="285">
        <f ca="1">IF(ROW()-2&gt;Start.listina!$O$7,"",INDIRECT(ADDRESS(3+(ROW()-3)*2,$D$2,1,1,"Centrum")))</f>
        <v>50</v>
      </c>
      <c r="D13" s="285">
        <f ca="1">IF(ROW()-2&gt;Start.listina!$O$7,"",INDIRECT(ADDRESS(4+(ROW()-3)*2,$D$2,1,1,"Centrum")))</f>
        <v>6</v>
      </c>
      <c r="E13" s="283" t="str">
        <f ca="1">IF(TYPE(VLOOKUP(C13,Centrum!$A$3:$C$130,3,0))&gt;3," - ",VLOOKUP(C13,Centrum!$A$3:$C$130,3,0))</f>
        <v>50 SK Španielka Řepy - Čaněk Radovan</v>
      </c>
      <c r="F13" s="283" t="str">
        <f ca="1">IF(TYPE(VLOOKUP(D13,Centrum!$A$3:$C$130,3,0))&gt;3," - ",VLOOKUP(D13,Centrum!$A$3:$C$130,3,0))</f>
        <v>6 SK Sahara Vědomice - Demčíková Jiřina</v>
      </c>
      <c r="G13" s="463">
        <f>IF(ROW()-2&gt;Start.listina!$O$7,"",ROW()-2)</f>
        <v>11</v>
      </c>
      <c r="H13" s="475">
        <v>4</v>
      </c>
      <c r="I13" s="476">
        <v>13</v>
      </c>
      <c r="K13" s="282">
        <f t="shared" ca="1" si="0"/>
        <v>6</v>
      </c>
      <c r="L13" s="282">
        <f t="shared" ca="1" si="1"/>
        <v>50</v>
      </c>
      <c r="M13" s="282">
        <f t="shared" ca="1" si="2"/>
        <v>0</v>
      </c>
      <c r="N13" s="282">
        <f t="shared" ca="1" si="6"/>
        <v>-9</v>
      </c>
      <c r="O13" s="282">
        <f t="shared" ca="1" si="3"/>
        <v>6</v>
      </c>
      <c r="P13" s="282">
        <f t="shared" ca="1" si="4"/>
        <v>1</v>
      </c>
      <c r="Q13" s="289">
        <f t="shared" ca="1" si="5"/>
        <v>9</v>
      </c>
    </row>
    <row r="14" spans="3:35" ht="22.5" x14ac:dyDescent="0.25">
      <c r="C14" s="285">
        <f ca="1">IF(ROW()-2&gt;Start.listina!$O$7,"",INDIRECT(ADDRESS(3+(ROW()-3)*2,$D$2,1,1,"Centrum")))</f>
        <v>21</v>
      </c>
      <c r="D14" s="285">
        <f ca="1">IF(ROW()-2&gt;Start.listina!$O$7,"",INDIRECT(ADDRESS(4+(ROW()-3)*2,$D$2,1,1,"Centrum")))</f>
        <v>19</v>
      </c>
      <c r="E14" s="283" t="str">
        <f ca="1">IF(TYPE(VLOOKUP(C14,Centrum!$A$3:$C$130,3,0))&gt;3," - ",VLOOKUP(C14,Centrum!$A$3:$C$130,3,0))</f>
        <v>21 JAPKO - Kubík Jaroslav</v>
      </c>
      <c r="F14" s="283" t="str">
        <f ca="1">IF(TYPE(VLOOKUP(D14,Centrum!$A$3:$C$130,3,0))&gt;3," - ",VLOOKUP(D14,Centrum!$A$3:$C$130,3,0))</f>
        <v>19 Petank Club Praha - Vorel Jan</v>
      </c>
      <c r="G14" s="463">
        <f>IF(ROW()-2&gt;Start.listina!$O$7,"",ROW()-2)</f>
        <v>12</v>
      </c>
      <c r="H14" s="475">
        <v>8</v>
      </c>
      <c r="I14" s="476">
        <v>13</v>
      </c>
      <c r="K14" s="282">
        <f t="shared" ca="1" si="0"/>
        <v>19</v>
      </c>
      <c r="L14" s="282">
        <f t="shared" ca="1" si="1"/>
        <v>21</v>
      </c>
      <c r="M14" s="282">
        <f t="shared" ca="1" si="2"/>
        <v>0</v>
      </c>
      <c r="N14" s="282">
        <f t="shared" ca="1" si="6"/>
        <v>-5</v>
      </c>
      <c r="O14" s="282">
        <f t="shared" ca="1" si="3"/>
        <v>19</v>
      </c>
      <c r="P14" s="282">
        <f t="shared" ca="1" si="4"/>
        <v>1</v>
      </c>
      <c r="Q14" s="289">
        <f t="shared" ca="1" si="5"/>
        <v>5</v>
      </c>
    </row>
    <row r="15" spans="3:35" ht="22.5" x14ac:dyDescent="0.25">
      <c r="C15" s="285">
        <f ca="1">IF(ROW()-2&gt;Start.listina!$O$7,"",INDIRECT(ADDRESS(3+(ROW()-3)*2,$D$2,1,1,"Centrum")))</f>
        <v>14</v>
      </c>
      <c r="D15" s="285">
        <f ca="1">IF(ROW()-2&gt;Start.listina!$O$7,"",INDIRECT(ADDRESS(4+(ROW()-3)*2,$D$2,1,1,"Centrum")))</f>
        <v>43</v>
      </c>
      <c r="E15" s="283" t="str">
        <f ca="1">IF(TYPE(VLOOKUP(C15,Centrum!$A$3:$C$130,3,0))&gt;3," - ",VLOOKUP(C15,Centrum!$A$3:$C$130,3,0))</f>
        <v>14 Sokol Kostomlaty - Vaníček Rudolf</v>
      </c>
      <c r="F15" s="283" t="str">
        <f ca="1">IF(TYPE(VLOOKUP(D15,Centrum!$A$3:$C$130,3,0))&gt;3," - ",VLOOKUP(D15,Centrum!$A$3:$C$130,3,0))</f>
        <v>43 SK Španielka Řepy - Holoubek Pavel</v>
      </c>
      <c r="G15" s="463">
        <f>IF(ROW()-2&gt;Start.listina!$O$7,"",ROW()-2)</f>
        <v>13</v>
      </c>
      <c r="H15" s="475">
        <v>6</v>
      </c>
      <c r="I15" s="476">
        <v>13</v>
      </c>
      <c r="K15" s="282">
        <f t="shared" ca="1" si="0"/>
        <v>43</v>
      </c>
      <c r="L15" s="282">
        <f t="shared" ca="1" si="1"/>
        <v>14</v>
      </c>
      <c r="M15" s="282">
        <f t="shared" ca="1" si="2"/>
        <v>0</v>
      </c>
      <c r="N15" s="282">
        <f t="shared" ca="1" si="6"/>
        <v>-7</v>
      </c>
      <c r="O15" s="282">
        <f t="shared" ca="1" si="3"/>
        <v>43</v>
      </c>
      <c r="P15" s="282">
        <f t="shared" ca="1" si="4"/>
        <v>1</v>
      </c>
      <c r="Q15" s="289">
        <f t="shared" ca="1" si="5"/>
        <v>7</v>
      </c>
    </row>
    <row r="16" spans="3:35" ht="22.5" x14ac:dyDescent="0.25">
      <c r="C16" s="285">
        <f ca="1">IF(ROW()-2&gt;Start.listina!$O$7,"",INDIRECT(ADDRESS(3+(ROW()-3)*2,$D$2,1,1,"Centrum")))</f>
        <v>42</v>
      </c>
      <c r="D16" s="285">
        <f ca="1">IF(ROW()-2&gt;Start.listina!$O$7,"",INDIRECT(ADDRESS(4+(ROW()-3)*2,$D$2,1,1,"Centrum")))</f>
        <v>35</v>
      </c>
      <c r="E16" s="283" t="str">
        <f ca="1">IF(TYPE(VLOOKUP(C16,Centrum!$A$3:$C$130,3,0))&gt;3," - ",VLOOKUP(C16,Centrum!$A$3:$C$130,3,0))</f>
        <v>42 SK Španielka Řepy - Procházka Josef</v>
      </c>
      <c r="F16" s="283" t="str">
        <f ca="1">IF(TYPE(VLOOKUP(D16,Centrum!$A$3:$C$130,3,0))&gt;3," - ",VLOOKUP(D16,Centrum!$A$3:$C$130,3,0))</f>
        <v>35 Spolek Park Grébovka - Nepomucký Jaroslav</v>
      </c>
      <c r="G16" s="463">
        <f>IF(ROW()-2&gt;Start.listina!$O$7,"",ROW()-2)</f>
        <v>14</v>
      </c>
      <c r="H16" s="475">
        <v>7</v>
      </c>
      <c r="I16" s="476">
        <v>12</v>
      </c>
      <c r="K16" s="282">
        <f t="shared" ca="1" si="0"/>
        <v>35</v>
      </c>
      <c r="L16" s="282">
        <f t="shared" ca="1" si="1"/>
        <v>42</v>
      </c>
      <c r="M16" s="282">
        <f t="shared" ca="1" si="2"/>
        <v>0</v>
      </c>
      <c r="N16" s="282">
        <f t="shared" ca="1" si="6"/>
        <v>-5</v>
      </c>
      <c r="O16" s="282">
        <f t="shared" ca="1" si="3"/>
        <v>35</v>
      </c>
      <c r="P16" s="282">
        <f t="shared" ca="1" si="4"/>
        <v>1</v>
      </c>
      <c r="Q16" s="289">
        <f t="shared" ca="1" si="5"/>
        <v>5</v>
      </c>
    </row>
    <row r="17" spans="3:17" ht="22.5" x14ac:dyDescent="0.25">
      <c r="C17" s="285">
        <f ca="1">IF(ROW()-2&gt;Start.listina!$O$7,"",INDIRECT(ADDRESS(3+(ROW()-3)*2,$D$2,1,1,"Centrum")))</f>
        <v>33</v>
      </c>
      <c r="D17" s="285">
        <f ca="1">IF(ROW()-2&gt;Start.listina!$O$7,"",INDIRECT(ADDRESS(4+(ROW()-3)*2,$D$2,1,1,"Centrum")))</f>
        <v>32</v>
      </c>
      <c r="E17" s="283" t="str">
        <f ca="1">IF(TYPE(VLOOKUP(C17,Centrum!$A$3:$C$130,3,0))&gt;3," - ",VLOOKUP(C17,Centrum!$A$3:$C$130,3,0))</f>
        <v>33 CdP Loděnice - Fatka Stanislav ml.</v>
      </c>
      <c r="F17" s="283" t="str">
        <f ca="1">IF(TYPE(VLOOKUP(D17,Centrum!$A$3:$C$130,3,0))&gt;3," - ",VLOOKUP(D17,Centrum!$A$3:$C$130,3,0))</f>
        <v>32 Petank Club Praha - Boubínová Vendula</v>
      </c>
      <c r="G17" s="463">
        <f>IF(ROW()-2&gt;Start.listina!$O$7,"",ROW()-2)</f>
        <v>15</v>
      </c>
      <c r="H17" s="475">
        <v>12</v>
      </c>
      <c r="I17" s="476">
        <v>13</v>
      </c>
      <c r="K17" s="282">
        <f t="shared" ca="1" si="0"/>
        <v>32</v>
      </c>
      <c r="L17" s="282">
        <f t="shared" ca="1" si="1"/>
        <v>33</v>
      </c>
      <c r="M17" s="282">
        <f t="shared" ca="1" si="2"/>
        <v>0</v>
      </c>
      <c r="N17" s="282">
        <f t="shared" ca="1" si="6"/>
        <v>-1</v>
      </c>
      <c r="O17" s="282">
        <f t="shared" ca="1" si="3"/>
        <v>32</v>
      </c>
      <c r="P17" s="282">
        <f t="shared" ca="1" si="4"/>
        <v>1</v>
      </c>
      <c r="Q17" s="289">
        <f t="shared" ca="1" si="5"/>
        <v>1</v>
      </c>
    </row>
    <row r="18" spans="3:17" ht="22.5" x14ac:dyDescent="0.25">
      <c r="C18" s="285">
        <f ca="1">IF(ROW()-2&gt;Start.listina!$O$7,"",INDIRECT(ADDRESS(3+(ROW()-3)*2,$D$2,1,1,"Centrum")))</f>
        <v>15</v>
      </c>
      <c r="D18" s="285">
        <f ca="1">IF(ROW()-2&gt;Start.listina!$O$7,"",INDIRECT(ADDRESS(4+(ROW()-3)*2,$D$2,1,1,"Centrum")))</f>
        <v>47</v>
      </c>
      <c r="E18" s="283" t="str">
        <f ca="1">IF(TYPE(VLOOKUP(C18,Centrum!$A$3:$C$130,3,0))&gt;3," - ",VLOOKUP(C18,Centrum!$A$3:$C$130,3,0))</f>
        <v>15 SKP Kulová osma - Zátka Miloslav</v>
      </c>
      <c r="F18" s="283" t="str">
        <f ca="1">IF(TYPE(VLOOKUP(D18,Centrum!$A$3:$C$130,3,0))&gt;3," - ",VLOOKUP(D18,Centrum!$A$3:$C$130,3,0))</f>
        <v>47 Club Rodamiento - Soukupová Irena</v>
      </c>
      <c r="G18" s="463">
        <f>IF(ROW()-2&gt;Start.listina!$O$7,"",ROW()-2)</f>
        <v>16</v>
      </c>
      <c r="H18" s="475">
        <v>13</v>
      </c>
      <c r="I18" s="476">
        <v>1</v>
      </c>
      <c r="K18" s="282">
        <f t="shared" ca="1" si="0"/>
        <v>47</v>
      </c>
      <c r="L18" s="282">
        <f t="shared" ca="1" si="1"/>
        <v>15</v>
      </c>
      <c r="M18" s="282">
        <f t="shared" ca="1" si="2"/>
        <v>1</v>
      </c>
      <c r="N18" s="282">
        <f t="shared" ca="1" si="6"/>
        <v>12</v>
      </c>
      <c r="O18" s="282">
        <f t="shared" ca="1" si="3"/>
        <v>47</v>
      </c>
      <c r="P18" s="282">
        <f t="shared" ca="1" si="4"/>
        <v>0</v>
      </c>
      <c r="Q18" s="289">
        <f t="shared" ca="1" si="5"/>
        <v>-12</v>
      </c>
    </row>
    <row r="19" spans="3:17" ht="22.5" x14ac:dyDescent="0.25">
      <c r="C19" s="285">
        <f ca="1">IF(ROW()-2&gt;Start.listina!$O$7,"",INDIRECT(ADDRESS(3+(ROW()-3)*2,$D$2,1,1,"Centrum")))</f>
        <v>30</v>
      </c>
      <c r="D19" s="285">
        <f ca="1">IF(ROW()-2&gt;Start.listina!$O$7,"",INDIRECT(ADDRESS(4+(ROW()-3)*2,$D$2,1,1,"Centrum")))</f>
        <v>28</v>
      </c>
      <c r="E19" s="283" t="str">
        <f ca="1">IF(TYPE(VLOOKUP(C19,Centrum!$A$3:$C$130,3,0))&gt;3," - ",VLOOKUP(C19,Centrum!$A$3:$C$130,3,0))</f>
        <v>30 SKP Kulová osma - Slapnička Václav</v>
      </c>
      <c r="F19" s="283" t="str">
        <f ca="1">IF(TYPE(VLOOKUP(D19,Centrum!$A$3:$C$130,3,0))&gt;3," - ",VLOOKUP(D19,Centrum!$A$3:$C$130,3,0))</f>
        <v>28 C.T.P. Club Ořech - Leiský Leander</v>
      </c>
      <c r="G19" s="463">
        <f>IF(ROW()-2&gt;Start.listina!$O$7,"",ROW()-2)</f>
        <v>17</v>
      </c>
      <c r="H19" s="475">
        <v>4</v>
      </c>
      <c r="I19" s="476">
        <v>13</v>
      </c>
      <c r="K19" s="282">
        <f t="shared" ca="1" si="0"/>
        <v>28</v>
      </c>
      <c r="L19" s="282">
        <f t="shared" ca="1" si="1"/>
        <v>30</v>
      </c>
      <c r="M19" s="282">
        <f t="shared" ca="1" si="2"/>
        <v>0</v>
      </c>
      <c r="N19" s="282">
        <f t="shared" ca="1" si="6"/>
        <v>-9</v>
      </c>
      <c r="O19" s="282">
        <f t="shared" ca="1" si="3"/>
        <v>28</v>
      </c>
      <c r="P19" s="282">
        <f t="shared" ca="1" si="4"/>
        <v>1</v>
      </c>
      <c r="Q19" s="289">
        <f t="shared" ca="1" si="5"/>
        <v>9</v>
      </c>
    </row>
    <row r="20" spans="3:17" ht="22.5" x14ac:dyDescent="0.25">
      <c r="C20" s="285">
        <f ca="1">IF(ROW()-2&gt;Start.listina!$O$7,"",INDIRECT(ADDRESS(3+(ROW()-3)*2,$D$2,1,1,"Centrum")))</f>
        <v>36</v>
      </c>
      <c r="D20" s="285">
        <f ca="1">IF(ROW()-2&gt;Start.listina!$O$7,"",INDIRECT(ADDRESS(4+(ROW()-3)*2,$D$2,1,1,"Centrum")))</f>
        <v>26</v>
      </c>
      <c r="E20" s="283" t="str">
        <f ca="1">IF(TYPE(VLOOKUP(C20,Centrum!$A$3:$C$130,3,0))&gt;3," - ",VLOOKUP(C20,Centrum!$A$3:$C$130,3,0))</f>
        <v>36 UBU Únětice - Pflimpflová Alexandra</v>
      </c>
      <c r="F20" s="283" t="str">
        <f ca="1">IF(TYPE(VLOOKUP(D20,Centrum!$A$3:$C$130,3,0))&gt;3," - ",VLOOKUP(D20,Centrum!$A$3:$C$130,3,0))</f>
        <v>26 SKP Kulová osma - Lhoták Jaroslav</v>
      </c>
      <c r="G20" s="463">
        <f>IF(ROW()-2&gt;Start.listina!$O$7,"",ROW()-2)</f>
        <v>18</v>
      </c>
      <c r="H20" s="475">
        <v>5</v>
      </c>
      <c r="I20" s="476">
        <v>13</v>
      </c>
      <c r="K20" s="282">
        <f t="shared" ca="1" si="0"/>
        <v>26</v>
      </c>
      <c r="L20" s="282">
        <f t="shared" ca="1" si="1"/>
        <v>36</v>
      </c>
      <c r="M20" s="282">
        <f t="shared" ca="1" si="2"/>
        <v>0</v>
      </c>
      <c r="N20" s="282">
        <f t="shared" ca="1" si="6"/>
        <v>-8</v>
      </c>
      <c r="O20" s="282">
        <f t="shared" ca="1" si="3"/>
        <v>26</v>
      </c>
      <c r="P20" s="282">
        <f t="shared" ca="1" si="4"/>
        <v>1</v>
      </c>
      <c r="Q20" s="289">
        <f t="shared" ca="1" si="5"/>
        <v>8</v>
      </c>
    </row>
    <row r="21" spans="3:17" ht="22.5" x14ac:dyDescent="0.25">
      <c r="C21" s="285">
        <f ca="1">IF(ROW()-2&gt;Start.listina!$O$7,"",INDIRECT(ADDRESS(3+(ROW()-3)*2,$D$2,1,1,"Centrum")))</f>
        <v>29</v>
      </c>
      <c r="D21" s="285">
        <f ca="1">IF(ROW()-2&gt;Start.listina!$O$7,"",INDIRECT(ADDRESS(4+(ROW()-3)*2,$D$2,1,1,"Centrum")))</f>
        <v>37</v>
      </c>
      <c r="E21" s="283" t="str">
        <f ca="1">IF(TYPE(VLOOKUP(C21,Centrum!$A$3:$C$130,3,0))&gt;3," - ",VLOOKUP(C21,Centrum!$A$3:$C$130,3,0))</f>
        <v>29 SKP Kulová osma - Pilát Petr</v>
      </c>
      <c r="F21" s="283" t="str">
        <f ca="1">IF(TYPE(VLOOKUP(D21,Centrum!$A$3:$C$130,3,0))&gt;3," - ",VLOOKUP(D21,Centrum!$A$3:$C$130,3,0))</f>
        <v>37 Club Rodamiento - Moos Daniel</v>
      </c>
      <c r="G21" s="463">
        <f>IF(ROW()-2&gt;Start.listina!$O$7,"",ROW()-2)</f>
        <v>19</v>
      </c>
      <c r="H21" s="475">
        <v>13</v>
      </c>
      <c r="I21" s="476">
        <v>7</v>
      </c>
      <c r="K21" s="282">
        <f t="shared" ca="1" si="0"/>
        <v>37</v>
      </c>
      <c r="L21" s="282">
        <f t="shared" ca="1" si="1"/>
        <v>29</v>
      </c>
      <c r="M21" s="282">
        <f t="shared" ca="1" si="2"/>
        <v>1</v>
      </c>
      <c r="N21" s="282">
        <f t="shared" ca="1" si="6"/>
        <v>6</v>
      </c>
      <c r="O21" s="282">
        <f t="shared" ca="1" si="3"/>
        <v>37</v>
      </c>
      <c r="P21" s="282">
        <f t="shared" ca="1" si="4"/>
        <v>0</v>
      </c>
      <c r="Q21" s="289">
        <f t="shared" ca="1" si="5"/>
        <v>-6</v>
      </c>
    </row>
    <row r="22" spans="3:17" ht="22.5" x14ac:dyDescent="0.25">
      <c r="C22" s="285">
        <f ca="1">IF(ROW()-2&gt;Start.listina!$O$7,"",INDIRECT(ADDRESS(3+(ROW()-3)*2,$D$2,1,1,"Centrum")))</f>
        <v>39</v>
      </c>
      <c r="D22" s="285">
        <f ca="1">IF(ROW()-2&gt;Start.listina!$O$7,"",INDIRECT(ADDRESS(4+(ROW()-3)*2,$D$2,1,1,"Centrum")))</f>
        <v>25</v>
      </c>
      <c r="E22" s="283" t="str">
        <f ca="1">IF(TYPE(VLOOKUP(C22,Centrum!$A$3:$C$130,3,0))&gt;3," - ",VLOOKUP(C22,Centrum!$A$3:$C$130,3,0))</f>
        <v>39 C.T.P. Club Ořech - Glaser Vladimír</v>
      </c>
      <c r="F22" s="283" t="str">
        <f ca="1">IF(TYPE(VLOOKUP(D22,Centrum!$A$3:$C$130,3,0))&gt;3," - ",VLOOKUP(D22,Centrum!$A$3:$C$130,3,0))</f>
        <v>25 PK Osika Plzeň - Špitálský Milan</v>
      </c>
      <c r="G22" s="463">
        <f>IF(ROW()-2&gt;Start.listina!$O$7,"",ROW()-2)</f>
        <v>20</v>
      </c>
      <c r="H22" s="475">
        <v>6</v>
      </c>
      <c r="I22" s="476">
        <v>13</v>
      </c>
      <c r="K22" s="282">
        <f t="shared" ca="1" si="0"/>
        <v>25</v>
      </c>
      <c r="L22" s="282">
        <f t="shared" ca="1" si="1"/>
        <v>39</v>
      </c>
      <c r="M22" s="282">
        <f t="shared" ca="1" si="2"/>
        <v>0</v>
      </c>
      <c r="N22" s="282">
        <f t="shared" ca="1" si="6"/>
        <v>-7</v>
      </c>
      <c r="O22" s="282">
        <f t="shared" ca="1" si="3"/>
        <v>25</v>
      </c>
      <c r="P22" s="282">
        <f t="shared" ca="1" si="4"/>
        <v>1</v>
      </c>
      <c r="Q22" s="289">
        <f t="shared" ca="1" si="5"/>
        <v>7</v>
      </c>
    </row>
    <row r="23" spans="3:17" ht="22.5" x14ac:dyDescent="0.25">
      <c r="C23" s="285">
        <f ca="1">IF(ROW()-2&gt;Start.listina!$O$7,"",INDIRECT(ADDRESS(3+(ROW()-3)*2,$D$2,1,1,"Centrum")))</f>
        <v>27</v>
      </c>
      <c r="D23" s="285">
        <f ca="1">IF(ROW()-2&gt;Start.listina!$O$7,"",INDIRECT(ADDRESS(4+(ROW()-3)*2,$D$2,1,1,"Centrum")))</f>
        <v>38</v>
      </c>
      <c r="E23" s="283" t="str">
        <f ca="1">IF(TYPE(VLOOKUP(C23,Centrum!$A$3:$C$130,3,0))&gt;3," - ",VLOOKUP(C23,Centrum!$A$3:$C$130,3,0))</f>
        <v>27 Sokol Kostomlaty - Hercoková Milena</v>
      </c>
      <c r="F23" s="283" t="str">
        <f ca="1">IF(TYPE(VLOOKUP(D23,Centrum!$A$3:$C$130,3,0))&gt;3," - ",VLOOKUP(D23,Centrum!$A$3:$C$130,3,0))</f>
        <v>38 JAPKO - Stejskal Petr</v>
      </c>
      <c r="G23" s="463">
        <f>IF(ROW()-2&gt;Start.listina!$O$7,"",ROW()-2)</f>
        <v>21</v>
      </c>
      <c r="H23" s="475">
        <v>9</v>
      </c>
      <c r="I23" s="476">
        <v>13</v>
      </c>
      <c r="K23" s="282">
        <f t="shared" ca="1" si="0"/>
        <v>38</v>
      </c>
      <c r="L23" s="282">
        <f t="shared" ca="1" si="1"/>
        <v>27</v>
      </c>
      <c r="M23" s="282">
        <f t="shared" ca="1" si="2"/>
        <v>0</v>
      </c>
      <c r="N23" s="282">
        <f t="shared" ca="1" si="6"/>
        <v>-4</v>
      </c>
      <c r="O23" s="282">
        <f t="shared" ca="1" si="3"/>
        <v>38</v>
      </c>
      <c r="P23" s="282">
        <f t="shared" ca="1" si="4"/>
        <v>1</v>
      </c>
      <c r="Q23" s="289">
        <f t="shared" ca="1" si="5"/>
        <v>4</v>
      </c>
    </row>
    <row r="24" spans="3:17" ht="22.5" x14ac:dyDescent="0.25">
      <c r="C24" s="285">
        <f ca="1">IF(ROW()-2&gt;Start.listina!$O$7,"",INDIRECT(ADDRESS(3+(ROW()-3)*2,$D$2,1,1,"Centrum")))</f>
        <v>34</v>
      </c>
      <c r="D24" s="285">
        <f ca="1">IF(ROW()-2&gt;Start.listina!$O$7,"",INDIRECT(ADDRESS(4+(ROW()-3)*2,$D$2,1,1,"Centrum")))</f>
        <v>31</v>
      </c>
      <c r="E24" s="283" t="str">
        <f ca="1">IF(TYPE(VLOOKUP(C24,Centrum!$A$3:$C$130,3,0))&gt;3," - ",VLOOKUP(C24,Centrum!$A$3:$C$130,3,0))</f>
        <v>34 UBU Únětice - Bayer Milan</v>
      </c>
      <c r="F24" s="283" t="str">
        <f ca="1">IF(TYPE(VLOOKUP(D24,Centrum!$A$3:$C$130,3,0))&gt;3," - ",VLOOKUP(D24,Centrum!$A$3:$C$130,3,0))</f>
        <v>31 SKP Kulová osma - Koudelková Ema</v>
      </c>
      <c r="G24" s="463">
        <f>IF(ROW()-2&gt;Start.listina!$O$7,"",ROW()-2)</f>
        <v>22</v>
      </c>
      <c r="H24" s="475">
        <v>5</v>
      </c>
      <c r="I24" s="476">
        <v>13</v>
      </c>
      <c r="K24" s="282">
        <f t="shared" ca="1" si="0"/>
        <v>31</v>
      </c>
      <c r="L24" s="282">
        <f t="shared" ca="1" si="1"/>
        <v>34</v>
      </c>
      <c r="M24" s="282">
        <f t="shared" ca="1" si="2"/>
        <v>0</v>
      </c>
      <c r="N24" s="282">
        <f t="shared" ca="1" si="6"/>
        <v>-8</v>
      </c>
      <c r="O24" s="282">
        <f t="shared" ca="1" si="3"/>
        <v>31</v>
      </c>
      <c r="P24" s="282">
        <f t="shared" ca="1" si="4"/>
        <v>1</v>
      </c>
      <c r="Q24" s="289">
        <f t="shared" ca="1" si="5"/>
        <v>8</v>
      </c>
    </row>
    <row r="25" spans="3:17" ht="22.5" x14ac:dyDescent="0.25">
      <c r="C25" s="285">
        <f ca="1">IF(ROW()-2&gt;Start.listina!$O$7,"",INDIRECT(ADDRESS(3+(ROW()-3)*2,$D$2,1,1,"Centrum")))</f>
        <v>49</v>
      </c>
      <c r="D25" s="285">
        <f ca="1">IF(ROW()-2&gt;Start.listina!$O$7,"",INDIRECT(ADDRESS(4+(ROW()-3)*2,$D$2,1,1,"Centrum")))</f>
        <v>18</v>
      </c>
      <c r="E25" s="283" t="str">
        <f ca="1">IF(TYPE(VLOOKUP(C25,Centrum!$A$3:$C$130,3,0))&gt;3," - ",VLOOKUP(C25,Centrum!$A$3:$C$130,3,0))</f>
        <v>49 SK Španielka Řepy - Řezník Alois</v>
      </c>
      <c r="F25" s="283" t="str">
        <f ca="1">IF(TYPE(VLOOKUP(D25,Centrum!$A$3:$C$130,3,0))&gt;3," - ",VLOOKUP(D25,Centrum!$A$3:$C$130,3,0))</f>
        <v>18 Club Rodamiento - Chmelař Ivo</v>
      </c>
      <c r="G25" s="463">
        <f>IF(ROW()-2&gt;Start.listina!$O$7,"",ROW()-2)</f>
        <v>23</v>
      </c>
      <c r="H25" s="475">
        <v>12</v>
      </c>
      <c r="I25" s="476">
        <v>11</v>
      </c>
      <c r="K25" s="282">
        <f t="shared" ca="1" si="0"/>
        <v>18</v>
      </c>
      <c r="L25" s="282">
        <f t="shared" ca="1" si="1"/>
        <v>49</v>
      </c>
      <c r="M25" s="282">
        <f t="shared" ca="1" si="2"/>
        <v>1</v>
      </c>
      <c r="N25" s="282">
        <f t="shared" ca="1" si="6"/>
        <v>1</v>
      </c>
      <c r="O25" s="282">
        <f t="shared" ca="1" si="3"/>
        <v>18</v>
      </c>
      <c r="P25" s="282">
        <f t="shared" ca="1" si="4"/>
        <v>0</v>
      </c>
      <c r="Q25" s="289">
        <f t="shared" ca="1" si="5"/>
        <v>-1</v>
      </c>
    </row>
    <row r="26" spans="3:17" ht="22.5" x14ac:dyDescent="0.25">
      <c r="C26" s="285">
        <f ca="1">IF(ROW()-2&gt;Start.listina!$O$7,"",INDIRECT(ADDRESS(3+(ROW()-3)*2,$D$2,1,1,"Centrum")))</f>
        <v>48</v>
      </c>
      <c r="D26" s="285">
        <f ca="1">IF(ROW()-2&gt;Start.listina!$O$7,"",INDIRECT(ADDRESS(4+(ROW()-3)*2,$D$2,1,1,"Centrum")))</f>
        <v>46</v>
      </c>
      <c r="E26" s="283" t="str">
        <f ca="1">IF(TYPE(VLOOKUP(C26,Centrum!$A$3:$C$130,3,0))&gt;3," - ",VLOOKUP(C26,Centrum!$A$3:$C$130,3,0))</f>
        <v>48 SK Španielka Řepy - Pastorek Jaroslav</v>
      </c>
      <c r="F26" s="283" t="str">
        <f ca="1">IF(TYPE(VLOOKUP(D26,Centrum!$A$3:$C$130,3,0))&gt;3," - ",VLOOKUP(D26,Centrum!$A$3:$C$130,3,0))</f>
        <v>46 CdP Loděnice - Hytych Petr</v>
      </c>
      <c r="G26" s="463">
        <f>IF(ROW()-2&gt;Start.listina!$O$7,"",ROW()-2)</f>
        <v>24</v>
      </c>
      <c r="H26" s="475">
        <v>13</v>
      </c>
      <c r="I26" s="476">
        <v>6</v>
      </c>
      <c r="K26" s="282">
        <f t="shared" ca="1" si="0"/>
        <v>46</v>
      </c>
      <c r="L26" s="282">
        <f t="shared" ca="1" si="1"/>
        <v>48</v>
      </c>
      <c r="M26" s="282">
        <f t="shared" ca="1" si="2"/>
        <v>1</v>
      </c>
      <c r="N26" s="282">
        <f t="shared" ca="1" si="6"/>
        <v>7</v>
      </c>
      <c r="O26" s="282">
        <f t="shared" ca="1" si="3"/>
        <v>46</v>
      </c>
      <c r="P26" s="282">
        <f t="shared" ca="1" si="4"/>
        <v>0</v>
      </c>
      <c r="Q26" s="289">
        <f t="shared" ca="1" si="5"/>
        <v>-7</v>
      </c>
    </row>
    <row r="27" spans="3:17" ht="22.5" x14ac:dyDescent="0.25">
      <c r="C27" s="285">
        <f ca="1">IF(ROW()-2&gt;Start.listina!$O$7,"",INDIRECT(ADDRESS(3+(ROW()-3)*2,$D$2,1,1,"Centrum")))</f>
        <v>20</v>
      </c>
      <c r="D27" s="285">
        <f ca="1">IF(ROW()-2&gt;Start.listina!$O$7,"",INDIRECT(ADDRESS(4+(ROW()-3)*2,$D$2,1,1,"Centrum")))</f>
        <v>41</v>
      </c>
      <c r="E27" s="283" t="str">
        <f ca="1">IF(TYPE(VLOOKUP(C27,Centrum!$A$3:$C$130,3,0))&gt;3," - ",VLOOKUP(C27,Centrum!$A$3:$C$130,3,0))</f>
        <v>20 Club Rodamiento - Dlouhá Ivana</v>
      </c>
      <c r="F27" s="283" t="str">
        <f ca="1">IF(TYPE(VLOOKUP(D27,Centrum!$A$3:$C$130,3,0))&gt;3," - ",VLOOKUP(D27,Centrum!$A$3:$C$130,3,0))</f>
        <v>41 CdP Loděnice - Janoš Jiří</v>
      </c>
      <c r="G27" s="463">
        <f>IF(ROW()-2&gt;Start.listina!$O$7,"",ROW()-2)</f>
        <v>25</v>
      </c>
      <c r="H27" s="475">
        <v>13</v>
      </c>
      <c r="I27" s="476">
        <v>11</v>
      </c>
      <c r="K27" s="282">
        <f t="shared" ca="1" si="0"/>
        <v>41</v>
      </c>
      <c r="L27" s="282">
        <f t="shared" ca="1" si="1"/>
        <v>20</v>
      </c>
      <c r="M27" s="282">
        <f t="shared" ca="1" si="2"/>
        <v>1</v>
      </c>
      <c r="N27" s="282">
        <f t="shared" ca="1" si="6"/>
        <v>2</v>
      </c>
      <c r="O27" s="282">
        <f t="shared" ca="1" si="3"/>
        <v>41</v>
      </c>
      <c r="P27" s="282">
        <f t="shared" ca="1" si="4"/>
        <v>0</v>
      </c>
      <c r="Q27" s="289">
        <f t="shared" ca="1" si="5"/>
        <v>-2</v>
      </c>
    </row>
    <row r="28" spans="3:17" ht="22.5" x14ac:dyDescent="0.25">
      <c r="C28" s="285">
        <f ca="1">IF(ROW()-2&gt;Start.listina!$O$7,"",INDIRECT(ADDRESS(3+(ROW()-3)*2,$D$2,1,1,"Centrum")))</f>
        <v>44</v>
      </c>
      <c r="D28" s="285" t="str">
        <f ca="1">IF(ROW()-2&gt;Start.listina!$O$7,"",INDIRECT(ADDRESS(4+(ROW()-3)*2,$D$2,1,1,"Centrum")))</f>
        <v/>
      </c>
      <c r="E28" s="283" t="str">
        <f ca="1">IF(TYPE(VLOOKUP(C28,Centrum!$A$3:$C$130,3,0))&gt;3," - ",VLOOKUP(C28,Centrum!$A$3:$C$130,3,0))</f>
        <v>44 JAPKO - Vais Martin</v>
      </c>
      <c r="F28" s="283" t="str">
        <f ca="1">IF(TYPE(VLOOKUP(D28,Centrum!$A$3:$C$130,3,0))&gt;3," - ",VLOOKUP(D28,Centrum!$A$3:$C$130,3,0))</f>
        <v xml:space="preserve"> - </v>
      </c>
      <c r="G28" s="463">
        <f>IF(ROW()-2&gt;Start.listina!$O$7,"",ROW()-2)</f>
        <v>26</v>
      </c>
      <c r="H28" s="475">
        <v>13</v>
      </c>
      <c r="I28" s="476">
        <v>7</v>
      </c>
      <c r="K28" s="282" t="str">
        <f t="shared" ca="1" si="0"/>
        <v/>
      </c>
      <c r="L28" s="282">
        <f t="shared" ca="1" si="1"/>
        <v>44</v>
      </c>
      <c r="M28" s="282">
        <f t="shared" ca="1" si="2"/>
        <v>1</v>
      </c>
      <c r="N28" s="282">
        <f t="shared" ca="1" si="6"/>
        <v>6</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475"/>
      <c r="I29" s="476"/>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475"/>
      <c r="I30" s="476"/>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475"/>
      <c r="I31" s="476"/>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475"/>
      <c r="I32" s="476"/>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vsF7fefSU03oMALCu9bZWS0CfvYhz5Ay3rVfLlm61uh4rOrRaf8yWbFDa2EvewGG0yTRIOIm/tunAF4cYUO7+A==" saltValue="AOv4RJRjVgg2zP1Irl2hcw=="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4"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15" activePane="bottomRight" state="frozen"/>
      <selection activeCell="H3" sqref="H3"/>
      <selection pane="topRight" activeCell="H3" sqref="H3"/>
      <selection pane="bottomLeft" activeCell="H3" sqref="H3"/>
      <selection pane="bottomRight" activeCell="H28" sqref="H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889</v>
      </c>
      <c r="F1" s="284" t="str">
        <f>Start.listina!$K$4</f>
        <v>Memoriál CdP Loděnice</v>
      </c>
      <c r="G1" s="1"/>
      <c r="H1" s="489" t="str">
        <f>Start.listina!$K$3</f>
        <v>16.07.2016</v>
      </c>
      <c r="I1" s="490"/>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854</v>
      </c>
      <c r="F2" s="8" t="s">
        <v>855</v>
      </c>
      <c r="G2" s="280" t="s">
        <v>1017</v>
      </c>
      <c r="H2" s="487" t="s">
        <v>853</v>
      </c>
      <c r="I2" s="488"/>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4</v>
      </c>
      <c r="D3" s="285">
        <f ca="1">IF(ROW()-2&gt;Start.listina!$O$7,"",INDIRECT(ADDRESS(4+(ROW()-3)*2,$D$2,1,1,"Centrum")))</f>
        <v>3</v>
      </c>
      <c r="E3" s="283" t="str">
        <f ca="1">IF(TYPE(VLOOKUP(C3,Centrum!$A$3:$C$130,3,0))&gt;3," - ",VLOOKUP(C3,Centrum!$A$3:$C$130,3,0))</f>
        <v>4 1. KPK Vrchlabí - Brázda Vladimír</v>
      </c>
      <c r="F3" s="283" t="str">
        <f ca="1">IF(TYPE(VLOOKUP(D3,Centrum!$A$3:$C$130,3,0))&gt;3," - ",VLOOKUP(D3,Centrum!$A$3:$C$130,3,0))</f>
        <v>3 Petank Club Praha - Klír Tomáš</v>
      </c>
      <c r="G3" s="463">
        <f>IF(ROW()-2&gt;Start.listina!$O$7,"",ROW()-2)</f>
        <v>1</v>
      </c>
      <c r="H3" s="475">
        <v>8</v>
      </c>
      <c r="I3" s="476">
        <v>11</v>
      </c>
      <c r="K3" s="282">
        <f t="shared" ref="K3:K65" ca="1" si="0">IF(TRIM($F3)="-","",$D3)</f>
        <v>3</v>
      </c>
      <c r="L3" s="282">
        <f t="shared" ref="L3:L65" ca="1" si="1">IF(TRIM($E3)="-","",$C3)</f>
        <v>4</v>
      </c>
      <c r="M3" s="282">
        <f t="shared" ref="M3:M65" ca="1" si="2">IF(AND(TRIM($E3)&lt;&gt;"-",$H3&gt;$I3),1,0)</f>
        <v>0</v>
      </c>
      <c r="N3" s="282">
        <f ca="1">IF(TRIM($E3)="-",0,$H3-$I3)</f>
        <v>-3</v>
      </c>
      <c r="O3" s="282">
        <f t="shared" ref="O3:O65" ca="1" si="3">IF(TRIM($F3)="-","",$D3)</f>
        <v>3</v>
      </c>
      <c r="P3" s="282">
        <f t="shared" ref="P3:P65" ca="1" si="4">IF(AND(TRIM($F3)&lt;&gt;"-",$I3&gt;$H3),1,0)</f>
        <v>1</v>
      </c>
      <c r="Q3" s="288">
        <f t="shared" ref="Q3:Q65" ca="1" si="5">IF(TRIM($F3)="-",0,$I3-$H3)</f>
        <v>3</v>
      </c>
    </row>
    <row r="4" spans="3:35" ht="22.5" x14ac:dyDescent="0.25">
      <c r="C4" s="285">
        <f ca="1">IF(ROW()-2&gt;Start.listina!$O$7,"",INDIRECT(ADDRESS(3+(ROW()-3)*2,$D$2,1,1,"Centrum")))</f>
        <v>22</v>
      </c>
      <c r="D4" s="285">
        <f ca="1">IF(ROW()-2&gt;Start.listina!$O$7,"",INDIRECT(ADDRESS(4+(ROW()-3)*2,$D$2,1,1,"Centrum")))</f>
        <v>11</v>
      </c>
      <c r="E4" s="283" t="str">
        <f ca="1">IF(TYPE(VLOOKUP(C4,Centrum!$A$3:$C$130,3,0))&gt;3," - ",VLOOKUP(C4,Centrum!$A$3:$C$130,3,0))</f>
        <v>22 UBU Únětice - Palas Pavel</v>
      </c>
      <c r="F4" s="283" t="str">
        <f ca="1">IF(TYPE(VLOOKUP(D4,Centrum!$A$3:$C$130,3,0))&gt;3," - ",VLOOKUP(D4,Centrum!$A$3:$C$130,3,0))</f>
        <v>11 PC Sokol Lipník - Froňková Blanka</v>
      </c>
      <c r="G4" s="463">
        <f>IF(ROW()-2&gt;Start.listina!$O$7,"",ROW()-2)</f>
        <v>2</v>
      </c>
      <c r="H4" s="475">
        <v>4</v>
      </c>
      <c r="I4" s="476">
        <v>13</v>
      </c>
      <c r="K4" s="282">
        <f t="shared" ca="1" si="0"/>
        <v>11</v>
      </c>
      <c r="L4" s="282">
        <f t="shared" ca="1" si="1"/>
        <v>22</v>
      </c>
      <c r="M4" s="282">
        <f t="shared" ca="1" si="2"/>
        <v>0</v>
      </c>
      <c r="N4" s="282">
        <f t="shared" ref="N4:N66" ca="1" si="6">IF(TRIM($E4)="-",0,$H4-$I4)</f>
        <v>-9</v>
      </c>
      <c r="O4" s="282">
        <f t="shared" ca="1" si="3"/>
        <v>11</v>
      </c>
      <c r="P4" s="282">
        <f t="shared" ca="1" si="4"/>
        <v>1</v>
      </c>
      <c r="Q4" s="289">
        <f t="shared" ca="1" si="5"/>
        <v>9</v>
      </c>
    </row>
    <row r="5" spans="3:35" ht="22.5" x14ac:dyDescent="0.25">
      <c r="C5" s="285">
        <f ca="1">IF(ROW()-2&gt;Start.listina!$O$7,"",INDIRECT(ADDRESS(3+(ROW()-3)*2,$D$2,1,1,"Centrum")))</f>
        <v>9</v>
      </c>
      <c r="D5" s="285">
        <f ca="1">IF(ROW()-2&gt;Start.listina!$O$7,"",INDIRECT(ADDRESS(4+(ROW()-3)*2,$D$2,1,1,"Centrum")))</f>
        <v>2</v>
      </c>
      <c r="E5" s="283" t="str">
        <f ca="1">IF(TYPE(VLOOKUP(C5,Centrum!$A$3:$C$130,3,0))&gt;3," - ",VLOOKUP(C5,Centrum!$A$3:$C$130,3,0))</f>
        <v>9 PK Osika Plzeň - Mráz Václav</v>
      </c>
      <c r="F5" s="283" t="str">
        <f ca="1">IF(TYPE(VLOOKUP(D5,Centrum!$A$3:$C$130,3,0))&gt;3," - ",VLOOKUP(D5,Centrum!$A$3:$C$130,3,0))</f>
        <v>2 PC Sokol Lipník - Fafek Petr</v>
      </c>
      <c r="G5" s="463">
        <f>IF(ROW()-2&gt;Start.listina!$O$7,"",ROW()-2)</f>
        <v>3</v>
      </c>
      <c r="H5" s="475">
        <v>1</v>
      </c>
      <c r="I5" s="476">
        <v>13</v>
      </c>
      <c r="K5" s="282">
        <f t="shared" ca="1" si="0"/>
        <v>2</v>
      </c>
      <c r="L5" s="282">
        <f t="shared" ca="1" si="1"/>
        <v>9</v>
      </c>
      <c r="M5" s="282">
        <f t="shared" ca="1" si="2"/>
        <v>0</v>
      </c>
      <c r="N5" s="282">
        <f t="shared" ca="1" si="6"/>
        <v>-12</v>
      </c>
      <c r="O5" s="282">
        <f t="shared" ca="1" si="3"/>
        <v>2</v>
      </c>
      <c r="P5" s="282">
        <f t="shared" ca="1" si="4"/>
        <v>1</v>
      </c>
      <c r="Q5" s="289">
        <f t="shared" ca="1" si="5"/>
        <v>12</v>
      </c>
    </row>
    <row r="6" spans="3:35" ht="22.5" x14ac:dyDescent="0.25">
      <c r="C6" s="285">
        <f ca="1">IF(ROW()-2&gt;Start.listina!$O$7,"",INDIRECT(ADDRESS(3+(ROW()-3)*2,$D$2,1,1,"Centrum")))</f>
        <v>19</v>
      </c>
      <c r="D6" s="285">
        <f ca="1">IF(ROW()-2&gt;Start.listina!$O$7,"",INDIRECT(ADDRESS(4+(ROW()-3)*2,$D$2,1,1,"Centrum")))</f>
        <v>16</v>
      </c>
      <c r="E6" s="283" t="str">
        <f ca="1">IF(TYPE(VLOOKUP(C6,Centrum!$A$3:$C$130,3,0))&gt;3," - ",VLOOKUP(C6,Centrum!$A$3:$C$130,3,0))</f>
        <v>19 Petank Club Praha - Vorel Jan</v>
      </c>
      <c r="F6" s="283" t="str">
        <f ca="1">IF(TYPE(VLOOKUP(D6,Centrum!$A$3:$C$130,3,0))&gt;3," - ",VLOOKUP(D6,Centrum!$A$3:$C$130,3,0))</f>
        <v>16 FRAPECO - Felčárek Jaroslav</v>
      </c>
      <c r="G6" s="463">
        <f>IF(ROW()-2&gt;Start.listina!$O$7,"",ROW()-2)</f>
        <v>4</v>
      </c>
      <c r="H6" s="475">
        <v>12</v>
      </c>
      <c r="I6" s="476">
        <v>8</v>
      </c>
      <c r="K6" s="282">
        <f t="shared" ca="1" si="0"/>
        <v>16</v>
      </c>
      <c r="L6" s="282">
        <f t="shared" ca="1" si="1"/>
        <v>19</v>
      </c>
      <c r="M6" s="282">
        <f t="shared" ca="1" si="2"/>
        <v>1</v>
      </c>
      <c r="N6" s="282">
        <f t="shared" ca="1" si="6"/>
        <v>4</v>
      </c>
      <c r="O6" s="282">
        <f t="shared" ca="1" si="3"/>
        <v>16</v>
      </c>
      <c r="P6" s="282">
        <f t="shared" ca="1" si="4"/>
        <v>0</v>
      </c>
      <c r="Q6" s="289">
        <f t="shared" ca="1" si="5"/>
        <v>-4</v>
      </c>
    </row>
    <row r="7" spans="3:35" ht="22.5" x14ac:dyDescent="0.25">
      <c r="C7" s="285">
        <f ca="1">IF(ROW()-2&gt;Start.listina!$O$7,"",INDIRECT(ADDRESS(3+(ROW()-3)*2,$D$2,1,1,"Centrum")))</f>
        <v>45</v>
      </c>
      <c r="D7" s="285">
        <f ca="1">IF(ROW()-2&gt;Start.listina!$O$7,"",INDIRECT(ADDRESS(4+(ROW()-3)*2,$D$2,1,1,"Centrum")))</f>
        <v>6</v>
      </c>
      <c r="E7" s="283" t="str">
        <f ca="1">IF(TYPE(VLOOKUP(C7,Centrum!$A$3:$C$130,3,0))&gt;3," - ",VLOOKUP(C7,Centrum!$A$3:$C$130,3,0))</f>
        <v>45 Spolek Park Grébovka - Kremlík Miroslav</v>
      </c>
      <c r="F7" s="283" t="str">
        <f ca="1">IF(TYPE(VLOOKUP(D7,Centrum!$A$3:$C$130,3,0))&gt;3," - ",VLOOKUP(D7,Centrum!$A$3:$C$130,3,0))</f>
        <v>6 SK Sahara Vědomice - Demčíková Jiřina</v>
      </c>
      <c r="G7" s="463">
        <f>IF(ROW()-2&gt;Start.listina!$O$7,"",ROW()-2)</f>
        <v>5</v>
      </c>
      <c r="H7" s="475">
        <v>3</v>
      </c>
      <c r="I7" s="476">
        <v>13</v>
      </c>
      <c r="K7" s="282">
        <f t="shared" ca="1" si="0"/>
        <v>6</v>
      </c>
      <c r="L7" s="282">
        <f t="shared" ca="1" si="1"/>
        <v>45</v>
      </c>
      <c r="M7" s="282">
        <f t="shared" ca="1" si="2"/>
        <v>0</v>
      </c>
      <c r="N7" s="282">
        <f t="shared" ca="1" si="6"/>
        <v>-10</v>
      </c>
      <c r="O7" s="282">
        <f t="shared" ca="1" si="3"/>
        <v>6</v>
      </c>
      <c r="P7" s="282">
        <f t="shared" ca="1" si="4"/>
        <v>1</v>
      </c>
      <c r="Q7" s="289">
        <f t="shared" ca="1" si="5"/>
        <v>10</v>
      </c>
    </row>
    <row r="8" spans="3:35" ht="22.5" x14ac:dyDescent="0.25">
      <c r="C8" s="285">
        <f ca="1">IF(ROW()-2&gt;Start.listina!$O$7,"",INDIRECT(ADDRESS(3+(ROW()-3)*2,$D$2,1,1,"Centrum")))</f>
        <v>43</v>
      </c>
      <c r="D8" s="285">
        <f ca="1">IF(ROW()-2&gt;Start.listina!$O$7,"",INDIRECT(ADDRESS(4+(ROW()-3)*2,$D$2,1,1,"Centrum")))</f>
        <v>24</v>
      </c>
      <c r="E8" s="283" t="str">
        <f ca="1">IF(TYPE(VLOOKUP(C8,Centrum!$A$3:$C$130,3,0))&gt;3," - ",VLOOKUP(C8,Centrum!$A$3:$C$130,3,0))</f>
        <v>43 SK Španielka Řepy - Holoubek Pavel</v>
      </c>
      <c r="F8" s="283" t="str">
        <f ca="1">IF(TYPE(VLOOKUP(D8,Centrum!$A$3:$C$130,3,0))&gt;3," - ",VLOOKUP(D8,Centrum!$A$3:$C$130,3,0))</f>
        <v>24 CdP Loděnice - Čermák Jiří</v>
      </c>
      <c r="G8" s="463">
        <f>IF(ROW()-2&gt;Start.listina!$O$7,"",ROW()-2)</f>
        <v>6</v>
      </c>
      <c r="H8" s="475">
        <v>13</v>
      </c>
      <c r="I8" s="476">
        <v>0</v>
      </c>
      <c r="K8" s="282">
        <f t="shared" ca="1" si="0"/>
        <v>24</v>
      </c>
      <c r="L8" s="282">
        <f t="shared" ca="1" si="1"/>
        <v>43</v>
      </c>
      <c r="M8" s="282">
        <f t="shared" ca="1" si="2"/>
        <v>1</v>
      </c>
      <c r="N8" s="282">
        <f t="shared" ca="1" si="6"/>
        <v>13</v>
      </c>
      <c r="O8" s="282">
        <f t="shared" ca="1" si="3"/>
        <v>24</v>
      </c>
      <c r="P8" s="282">
        <f t="shared" ca="1" si="4"/>
        <v>0</v>
      </c>
      <c r="Q8" s="289">
        <f t="shared" ca="1" si="5"/>
        <v>-13</v>
      </c>
    </row>
    <row r="9" spans="3:35" ht="22.5" x14ac:dyDescent="0.25">
      <c r="C9" s="285">
        <f ca="1">IF(ROW()-2&gt;Start.listina!$O$7,"",INDIRECT(ADDRESS(3+(ROW()-3)*2,$D$2,1,1,"Centrum")))</f>
        <v>12</v>
      </c>
      <c r="D9" s="285">
        <f ca="1">IF(ROW()-2&gt;Start.listina!$O$7,"",INDIRECT(ADDRESS(4+(ROW()-3)*2,$D$2,1,1,"Centrum")))</f>
        <v>28</v>
      </c>
      <c r="E9" s="283" t="str">
        <f ca="1">IF(TYPE(VLOOKUP(C9,Centrum!$A$3:$C$130,3,0))&gt;3," - ",VLOOKUP(C9,Centrum!$A$3:$C$130,3,0))</f>
        <v>12 CdP Loděnice - Marhoul Jan</v>
      </c>
      <c r="F9" s="283" t="str">
        <f ca="1">IF(TYPE(VLOOKUP(D9,Centrum!$A$3:$C$130,3,0))&gt;3," - ",VLOOKUP(D9,Centrum!$A$3:$C$130,3,0))</f>
        <v>28 C.T.P. Club Ořech - Leiský Leander</v>
      </c>
      <c r="G9" s="463">
        <f>IF(ROW()-2&gt;Start.listina!$O$7,"",ROW()-2)</f>
        <v>7</v>
      </c>
      <c r="H9" s="475">
        <v>13</v>
      </c>
      <c r="I9" s="476">
        <v>3</v>
      </c>
      <c r="K9" s="282">
        <f t="shared" ca="1" si="0"/>
        <v>28</v>
      </c>
      <c r="L9" s="282">
        <f t="shared" ca="1" si="1"/>
        <v>12</v>
      </c>
      <c r="M9" s="282">
        <f t="shared" ca="1" si="2"/>
        <v>1</v>
      </c>
      <c r="N9" s="282">
        <f t="shared" ca="1" si="6"/>
        <v>10</v>
      </c>
      <c r="O9" s="282">
        <f t="shared" ca="1" si="3"/>
        <v>28</v>
      </c>
      <c r="P9" s="282">
        <f t="shared" ca="1" si="4"/>
        <v>0</v>
      </c>
      <c r="Q9" s="289">
        <f t="shared" ca="1" si="5"/>
        <v>-10</v>
      </c>
    </row>
    <row r="10" spans="3:35" ht="22.5" x14ac:dyDescent="0.25">
      <c r="C10" s="285">
        <f ca="1">IF(ROW()-2&gt;Start.listina!$O$7,"",INDIRECT(ADDRESS(3+(ROW()-3)*2,$D$2,1,1,"Centrum")))</f>
        <v>13</v>
      </c>
      <c r="D10" s="285">
        <f ca="1">IF(ROW()-2&gt;Start.listina!$O$7,"",INDIRECT(ADDRESS(4+(ROW()-3)*2,$D$2,1,1,"Centrum")))</f>
        <v>29</v>
      </c>
      <c r="E10" s="283" t="str">
        <f ca="1">IF(TYPE(VLOOKUP(C10,Centrum!$A$3:$C$130,3,0))&gt;3," - ",VLOOKUP(C10,Centrum!$A$3:$C$130,3,0))</f>
        <v>13 PC Sokol Lipník - Fafková Jana</v>
      </c>
      <c r="F10" s="283" t="str">
        <f ca="1">IF(TYPE(VLOOKUP(D10,Centrum!$A$3:$C$130,3,0))&gt;3," - ",VLOOKUP(D10,Centrum!$A$3:$C$130,3,0))</f>
        <v>29 SKP Kulová osma - Pilát Petr</v>
      </c>
      <c r="G10" s="463">
        <f>IF(ROW()-2&gt;Start.listina!$O$7,"",ROW()-2)</f>
        <v>8</v>
      </c>
      <c r="H10" s="475">
        <v>7</v>
      </c>
      <c r="I10" s="476">
        <v>6</v>
      </c>
      <c r="K10" s="282">
        <f t="shared" ca="1" si="0"/>
        <v>29</v>
      </c>
      <c r="L10" s="282">
        <f t="shared" ca="1" si="1"/>
        <v>13</v>
      </c>
      <c r="M10" s="282">
        <f t="shared" ca="1" si="2"/>
        <v>1</v>
      </c>
      <c r="N10" s="282">
        <f t="shared" ca="1" si="6"/>
        <v>1</v>
      </c>
      <c r="O10" s="282">
        <f t="shared" ca="1" si="3"/>
        <v>29</v>
      </c>
      <c r="P10" s="282">
        <f t="shared" ca="1" si="4"/>
        <v>0</v>
      </c>
      <c r="Q10" s="289">
        <f t="shared" ca="1" si="5"/>
        <v>-1</v>
      </c>
    </row>
    <row r="11" spans="3:35" ht="22.5" x14ac:dyDescent="0.25">
      <c r="C11" s="285">
        <f ca="1">IF(ROW()-2&gt;Start.listina!$O$7,"",INDIRECT(ADDRESS(3+(ROW()-3)*2,$D$2,1,1,"Centrum")))</f>
        <v>15</v>
      </c>
      <c r="D11" s="285">
        <f ca="1">IF(ROW()-2&gt;Start.listina!$O$7,"",INDIRECT(ADDRESS(4+(ROW()-3)*2,$D$2,1,1,"Centrum")))</f>
        <v>50</v>
      </c>
      <c r="E11" s="283" t="str">
        <f ca="1">IF(TYPE(VLOOKUP(C11,Centrum!$A$3:$C$130,3,0))&gt;3," - ",VLOOKUP(C11,Centrum!$A$3:$C$130,3,0))</f>
        <v>15 SKP Kulová osma - Zátka Miloslav</v>
      </c>
      <c r="F11" s="283" t="str">
        <f ca="1">IF(TYPE(VLOOKUP(D11,Centrum!$A$3:$C$130,3,0))&gt;3," - ",VLOOKUP(D11,Centrum!$A$3:$C$130,3,0))</f>
        <v>50 SK Španielka Řepy - Čaněk Radovan</v>
      </c>
      <c r="G11" s="463">
        <f>IF(ROW()-2&gt;Start.listina!$O$7,"",ROW()-2)</f>
        <v>9</v>
      </c>
      <c r="H11" s="475">
        <v>8</v>
      </c>
      <c r="I11" s="476">
        <v>9</v>
      </c>
      <c r="K11" s="282">
        <f t="shared" ca="1" si="0"/>
        <v>50</v>
      </c>
      <c r="L11" s="282">
        <f t="shared" ca="1" si="1"/>
        <v>15</v>
      </c>
      <c r="M11" s="282">
        <f t="shared" ca="1" si="2"/>
        <v>0</v>
      </c>
      <c r="N11" s="282">
        <f t="shared" ca="1" si="6"/>
        <v>-1</v>
      </c>
      <c r="O11" s="282">
        <f t="shared" ca="1" si="3"/>
        <v>50</v>
      </c>
      <c r="P11" s="282">
        <f t="shared" ca="1" si="4"/>
        <v>1</v>
      </c>
      <c r="Q11" s="289">
        <f t="shared" ca="1" si="5"/>
        <v>1</v>
      </c>
    </row>
    <row r="12" spans="3:35" ht="22.5" x14ac:dyDescent="0.25">
      <c r="C12" s="285">
        <f ca="1">IF(ROW()-2&gt;Start.listina!$O$7,"",INDIRECT(ADDRESS(3+(ROW()-3)*2,$D$2,1,1,"Centrum")))</f>
        <v>26</v>
      </c>
      <c r="D12" s="285">
        <f ca="1">IF(ROW()-2&gt;Start.listina!$O$7,"",INDIRECT(ADDRESS(4+(ROW()-3)*2,$D$2,1,1,"Centrum")))</f>
        <v>14</v>
      </c>
      <c r="E12" s="283" t="str">
        <f ca="1">IF(TYPE(VLOOKUP(C12,Centrum!$A$3:$C$130,3,0))&gt;3," - ",VLOOKUP(C12,Centrum!$A$3:$C$130,3,0))</f>
        <v>26 SKP Kulová osma - Lhoták Jaroslav</v>
      </c>
      <c r="F12" s="283" t="str">
        <f ca="1">IF(TYPE(VLOOKUP(D12,Centrum!$A$3:$C$130,3,0))&gt;3," - ",VLOOKUP(D12,Centrum!$A$3:$C$130,3,0))</f>
        <v>14 Sokol Kostomlaty - Vaníček Rudolf</v>
      </c>
      <c r="G12" s="463">
        <f>IF(ROW()-2&gt;Start.listina!$O$7,"",ROW()-2)</f>
        <v>10</v>
      </c>
      <c r="H12" s="475">
        <v>8</v>
      </c>
      <c r="I12" s="476">
        <v>11</v>
      </c>
      <c r="K12" s="282">
        <f t="shared" ca="1" si="0"/>
        <v>14</v>
      </c>
      <c r="L12" s="282">
        <f t="shared" ca="1" si="1"/>
        <v>26</v>
      </c>
      <c r="M12" s="282">
        <f t="shared" ca="1" si="2"/>
        <v>0</v>
      </c>
      <c r="N12" s="282">
        <f t="shared" ca="1" si="6"/>
        <v>-3</v>
      </c>
      <c r="O12" s="282">
        <f t="shared" ca="1" si="3"/>
        <v>14</v>
      </c>
      <c r="P12" s="282">
        <f t="shared" ca="1" si="4"/>
        <v>1</v>
      </c>
      <c r="Q12" s="289">
        <f t="shared" ca="1" si="5"/>
        <v>3</v>
      </c>
    </row>
    <row r="13" spans="3:35" ht="22.5" x14ac:dyDescent="0.25">
      <c r="C13" s="285">
        <f ca="1">IF(ROW()-2&gt;Start.listina!$O$7,"",INDIRECT(ADDRESS(3+(ROW()-3)*2,$D$2,1,1,"Centrum")))</f>
        <v>5</v>
      </c>
      <c r="D13" s="285">
        <f ca="1">IF(ROW()-2&gt;Start.listina!$O$7,"",INDIRECT(ADDRESS(4+(ROW()-3)*2,$D$2,1,1,"Centrum")))</f>
        <v>7</v>
      </c>
      <c r="E13" s="283" t="str">
        <f ca="1">IF(TYPE(VLOOKUP(C13,Centrum!$A$3:$C$130,3,0))&gt;3," - ",VLOOKUP(C13,Centrum!$A$3:$C$130,3,0))</f>
        <v>5 PK Osika Plzeň - Valenz Jan</v>
      </c>
      <c r="F13" s="283" t="str">
        <f ca="1">IF(TYPE(VLOOKUP(D13,Centrum!$A$3:$C$130,3,0))&gt;3," - ",VLOOKUP(D13,Centrum!$A$3:$C$130,3,0))</f>
        <v>7 PC Kolová - Kacerovský Ivo</v>
      </c>
      <c r="G13" s="463">
        <f>IF(ROW()-2&gt;Start.listina!$O$7,"",ROW()-2)</f>
        <v>11</v>
      </c>
      <c r="H13" s="475">
        <v>6</v>
      </c>
      <c r="I13" s="476">
        <v>13</v>
      </c>
      <c r="K13" s="282">
        <f t="shared" ca="1" si="0"/>
        <v>7</v>
      </c>
      <c r="L13" s="282">
        <f t="shared" ca="1" si="1"/>
        <v>5</v>
      </c>
      <c r="M13" s="282">
        <f t="shared" ca="1" si="2"/>
        <v>0</v>
      </c>
      <c r="N13" s="282">
        <f t="shared" ca="1" si="6"/>
        <v>-7</v>
      </c>
      <c r="O13" s="282">
        <f t="shared" ca="1" si="3"/>
        <v>7</v>
      </c>
      <c r="P13" s="282">
        <f t="shared" ca="1" si="4"/>
        <v>1</v>
      </c>
      <c r="Q13" s="289">
        <f t="shared" ca="1" si="5"/>
        <v>7</v>
      </c>
    </row>
    <row r="14" spans="3:35" ht="22.5" x14ac:dyDescent="0.25">
      <c r="C14" s="285">
        <f ca="1">IF(ROW()-2&gt;Start.listina!$O$7,"",INDIRECT(ADDRESS(3+(ROW()-3)*2,$D$2,1,1,"Centrum")))</f>
        <v>51</v>
      </c>
      <c r="D14" s="285">
        <f ca="1">IF(ROW()-2&gt;Start.listina!$O$7,"",INDIRECT(ADDRESS(4+(ROW()-3)*2,$D$2,1,1,"Centrum")))</f>
        <v>21</v>
      </c>
      <c r="E14" s="283" t="str">
        <f ca="1">IF(TYPE(VLOOKUP(C14,Centrum!$A$3:$C$130,3,0))&gt;3," - ",VLOOKUP(C14,Centrum!$A$3:$C$130,3,0))</f>
        <v>51 CdP Loděnice - Tyrol Pavel</v>
      </c>
      <c r="F14" s="283" t="str">
        <f ca="1">IF(TYPE(VLOOKUP(D14,Centrum!$A$3:$C$130,3,0))&gt;3," - ",VLOOKUP(D14,Centrum!$A$3:$C$130,3,0))</f>
        <v>21 JAPKO - Kubík Jaroslav</v>
      </c>
      <c r="G14" s="463">
        <f>IF(ROW()-2&gt;Start.listina!$O$7,"",ROW()-2)</f>
        <v>12</v>
      </c>
      <c r="H14" s="475">
        <v>2</v>
      </c>
      <c r="I14" s="476">
        <v>13</v>
      </c>
      <c r="K14" s="282">
        <f t="shared" ca="1" si="0"/>
        <v>21</v>
      </c>
      <c r="L14" s="282">
        <f t="shared" ca="1" si="1"/>
        <v>51</v>
      </c>
      <c r="M14" s="282">
        <f t="shared" ca="1" si="2"/>
        <v>0</v>
      </c>
      <c r="N14" s="282">
        <f t="shared" ca="1" si="6"/>
        <v>-11</v>
      </c>
      <c r="O14" s="282">
        <f t="shared" ca="1" si="3"/>
        <v>21</v>
      </c>
      <c r="P14" s="282">
        <f t="shared" ca="1" si="4"/>
        <v>1</v>
      </c>
      <c r="Q14" s="289">
        <f t="shared" ca="1" si="5"/>
        <v>11</v>
      </c>
    </row>
    <row r="15" spans="3:35" ht="22.5" x14ac:dyDescent="0.25">
      <c r="C15" s="285">
        <f ca="1">IF(ROW()-2&gt;Start.listina!$O$7,"",INDIRECT(ADDRESS(3+(ROW()-3)*2,$D$2,1,1,"Centrum")))</f>
        <v>20</v>
      </c>
      <c r="D15" s="285">
        <f ca="1">IF(ROW()-2&gt;Start.listina!$O$7,"",INDIRECT(ADDRESS(4+(ROW()-3)*2,$D$2,1,1,"Centrum")))</f>
        <v>32</v>
      </c>
      <c r="E15" s="283" t="str">
        <f ca="1">IF(TYPE(VLOOKUP(C15,Centrum!$A$3:$C$130,3,0))&gt;3," - ",VLOOKUP(C15,Centrum!$A$3:$C$130,3,0))</f>
        <v>20 Club Rodamiento - Dlouhá Ivana</v>
      </c>
      <c r="F15" s="283" t="str">
        <f ca="1">IF(TYPE(VLOOKUP(D15,Centrum!$A$3:$C$130,3,0))&gt;3," - ",VLOOKUP(D15,Centrum!$A$3:$C$130,3,0))</f>
        <v>32 Petank Club Praha - Boubínová Vendula</v>
      </c>
      <c r="G15" s="463">
        <f>IF(ROW()-2&gt;Start.listina!$O$7,"",ROW()-2)</f>
        <v>13</v>
      </c>
      <c r="H15" s="475">
        <v>13</v>
      </c>
      <c r="I15" s="476">
        <v>4</v>
      </c>
      <c r="K15" s="282">
        <f t="shared" ca="1" si="0"/>
        <v>32</v>
      </c>
      <c r="L15" s="282">
        <f t="shared" ca="1" si="1"/>
        <v>20</v>
      </c>
      <c r="M15" s="282">
        <f t="shared" ca="1" si="2"/>
        <v>1</v>
      </c>
      <c r="N15" s="282">
        <f t="shared" ca="1" si="6"/>
        <v>9</v>
      </c>
      <c r="O15" s="282">
        <f t="shared" ca="1" si="3"/>
        <v>32</v>
      </c>
      <c r="P15" s="282">
        <f t="shared" ca="1" si="4"/>
        <v>0</v>
      </c>
      <c r="Q15" s="289">
        <f t="shared" ca="1" si="5"/>
        <v>-9</v>
      </c>
    </row>
    <row r="16" spans="3:35" ht="22.5" x14ac:dyDescent="0.25">
      <c r="C16" s="285">
        <f ca="1">IF(ROW()-2&gt;Start.listina!$O$7,"",INDIRECT(ADDRESS(3+(ROW()-3)*2,$D$2,1,1,"Centrum")))</f>
        <v>1</v>
      </c>
      <c r="D16" s="285">
        <f ca="1">IF(ROW()-2&gt;Start.listina!$O$7,"",INDIRECT(ADDRESS(4+(ROW()-3)*2,$D$2,1,1,"Centrum")))</f>
        <v>23</v>
      </c>
      <c r="E16" s="283" t="str">
        <f ca="1">IF(TYPE(VLOOKUP(C16,Centrum!$A$3:$C$130,3,0))&gt;3," - ",VLOOKUP(C16,Centrum!$A$3:$C$130,3,0))</f>
        <v>1 PC Sokol Lipník - Morávek Petr</v>
      </c>
      <c r="F16" s="283" t="str">
        <f ca="1">IF(TYPE(VLOOKUP(D16,Centrum!$A$3:$C$130,3,0))&gt;3," - ",VLOOKUP(D16,Centrum!$A$3:$C$130,3,0))</f>
        <v>23 CdP Loděnice - Vedralová Kateřina</v>
      </c>
      <c r="G16" s="463">
        <f>IF(ROW()-2&gt;Start.listina!$O$7,"",ROW()-2)</f>
        <v>14</v>
      </c>
      <c r="H16" s="475">
        <v>13</v>
      </c>
      <c r="I16" s="476">
        <v>5</v>
      </c>
      <c r="K16" s="282">
        <f t="shared" ca="1" si="0"/>
        <v>23</v>
      </c>
      <c r="L16" s="282">
        <f t="shared" ca="1" si="1"/>
        <v>1</v>
      </c>
      <c r="M16" s="282">
        <f t="shared" ca="1" si="2"/>
        <v>1</v>
      </c>
      <c r="N16" s="282">
        <f t="shared" ca="1" si="6"/>
        <v>8</v>
      </c>
      <c r="O16" s="282">
        <f t="shared" ca="1" si="3"/>
        <v>23</v>
      </c>
      <c r="P16" s="282">
        <f t="shared" ca="1" si="4"/>
        <v>0</v>
      </c>
      <c r="Q16" s="289">
        <f t="shared" ca="1" si="5"/>
        <v>-8</v>
      </c>
    </row>
    <row r="17" spans="3:17" ht="22.5" x14ac:dyDescent="0.25">
      <c r="C17" s="285">
        <f ca="1">IF(ROW()-2&gt;Start.listina!$O$7,"",INDIRECT(ADDRESS(3+(ROW()-3)*2,$D$2,1,1,"Centrum")))</f>
        <v>48</v>
      </c>
      <c r="D17" s="285">
        <f ca="1">IF(ROW()-2&gt;Start.listina!$O$7,"",INDIRECT(ADDRESS(4+(ROW()-3)*2,$D$2,1,1,"Centrum")))</f>
        <v>25</v>
      </c>
      <c r="E17" s="283" t="str">
        <f ca="1">IF(TYPE(VLOOKUP(C17,Centrum!$A$3:$C$130,3,0))&gt;3," - ",VLOOKUP(C17,Centrum!$A$3:$C$130,3,0))</f>
        <v>48 SK Španielka Řepy - Pastorek Jaroslav</v>
      </c>
      <c r="F17" s="283" t="str">
        <f ca="1">IF(TYPE(VLOOKUP(D17,Centrum!$A$3:$C$130,3,0))&gt;3," - ",VLOOKUP(D17,Centrum!$A$3:$C$130,3,0))</f>
        <v>25 PK Osika Plzeň - Špitálský Milan</v>
      </c>
      <c r="G17" s="463">
        <f>IF(ROW()-2&gt;Start.listina!$O$7,"",ROW()-2)</f>
        <v>15</v>
      </c>
      <c r="H17" s="475">
        <v>6</v>
      </c>
      <c r="I17" s="476">
        <v>13</v>
      </c>
      <c r="K17" s="282">
        <f t="shared" ca="1" si="0"/>
        <v>25</v>
      </c>
      <c r="L17" s="282">
        <f t="shared" ca="1" si="1"/>
        <v>48</v>
      </c>
      <c r="M17" s="282">
        <f t="shared" ca="1" si="2"/>
        <v>0</v>
      </c>
      <c r="N17" s="282">
        <f t="shared" ca="1" si="6"/>
        <v>-7</v>
      </c>
      <c r="O17" s="282">
        <f t="shared" ca="1" si="3"/>
        <v>25</v>
      </c>
      <c r="P17" s="282">
        <f t="shared" ca="1" si="4"/>
        <v>1</v>
      </c>
      <c r="Q17" s="289">
        <f t="shared" ca="1" si="5"/>
        <v>7</v>
      </c>
    </row>
    <row r="18" spans="3:17" ht="22.5" x14ac:dyDescent="0.25">
      <c r="C18" s="285">
        <f ca="1">IF(ROW()-2&gt;Start.listina!$O$7,"",INDIRECT(ADDRESS(3+(ROW()-3)*2,$D$2,1,1,"Centrum")))</f>
        <v>8</v>
      </c>
      <c r="D18" s="285">
        <f ca="1">IF(ROW()-2&gt;Start.listina!$O$7,"",INDIRECT(ADDRESS(4+(ROW()-3)*2,$D$2,1,1,"Centrum")))</f>
        <v>35</v>
      </c>
      <c r="E18" s="283" t="str">
        <f ca="1">IF(TYPE(VLOOKUP(C18,Centrum!$A$3:$C$130,3,0))&gt;3," - ",VLOOKUP(C18,Centrum!$A$3:$C$130,3,0))</f>
        <v>8 CdP Loděnice - Mrázek Petr</v>
      </c>
      <c r="F18" s="283" t="str">
        <f ca="1">IF(TYPE(VLOOKUP(D18,Centrum!$A$3:$C$130,3,0))&gt;3," - ",VLOOKUP(D18,Centrum!$A$3:$C$130,3,0))</f>
        <v>35 Spolek Park Grébovka - Nepomucký Jaroslav</v>
      </c>
      <c r="G18" s="463">
        <f>IF(ROW()-2&gt;Start.listina!$O$7,"",ROW()-2)</f>
        <v>16</v>
      </c>
      <c r="H18" s="475">
        <v>5</v>
      </c>
      <c r="I18" s="476">
        <v>8</v>
      </c>
      <c r="K18" s="282">
        <f t="shared" ca="1" si="0"/>
        <v>35</v>
      </c>
      <c r="L18" s="282">
        <f t="shared" ca="1" si="1"/>
        <v>8</v>
      </c>
      <c r="M18" s="282">
        <f t="shared" ca="1" si="2"/>
        <v>0</v>
      </c>
      <c r="N18" s="282">
        <f t="shared" ca="1" si="6"/>
        <v>-3</v>
      </c>
      <c r="O18" s="282">
        <f t="shared" ca="1" si="3"/>
        <v>35</v>
      </c>
      <c r="P18" s="282">
        <f t="shared" ca="1" si="4"/>
        <v>1</v>
      </c>
      <c r="Q18" s="289">
        <f t="shared" ca="1" si="5"/>
        <v>3</v>
      </c>
    </row>
    <row r="19" spans="3:17" ht="22.5" x14ac:dyDescent="0.25">
      <c r="C19" s="285">
        <f ca="1">IF(ROW()-2&gt;Start.listina!$O$7,"",INDIRECT(ADDRESS(3+(ROW()-3)*2,$D$2,1,1,"Centrum")))</f>
        <v>17</v>
      </c>
      <c r="D19" s="285">
        <f ca="1">IF(ROW()-2&gt;Start.listina!$O$7,"",INDIRECT(ADDRESS(4+(ROW()-3)*2,$D$2,1,1,"Centrum")))</f>
        <v>49</v>
      </c>
      <c r="E19" s="283" t="str">
        <f ca="1">IF(TYPE(VLOOKUP(C19,Centrum!$A$3:$C$130,3,0))&gt;3," - ",VLOOKUP(C19,Centrum!$A$3:$C$130,3,0))</f>
        <v>17 Sokol Kostomlaty - Vyoral Hynek</v>
      </c>
      <c r="F19" s="283" t="str">
        <f ca="1">IF(TYPE(VLOOKUP(D19,Centrum!$A$3:$C$130,3,0))&gt;3," - ",VLOOKUP(D19,Centrum!$A$3:$C$130,3,0))</f>
        <v>49 SK Španielka Řepy - Řezník Alois</v>
      </c>
      <c r="G19" s="463">
        <f>IF(ROW()-2&gt;Start.listina!$O$7,"",ROW()-2)</f>
        <v>17</v>
      </c>
      <c r="H19" s="475">
        <v>11</v>
      </c>
      <c r="I19" s="476">
        <v>13</v>
      </c>
      <c r="K19" s="282">
        <f t="shared" ca="1" si="0"/>
        <v>49</v>
      </c>
      <c r="L19" s="282">
        <f t="shared" ca="1" si="1"/>
        <v>17</v>
      </c>
      <c r="M19" s="282">
        <f t="shared" ca="1" si="2"/>
        <v>0</v>
      </c>
      <c r="N19" s="282">
        <f t="shared" ca="1" si="6"/>
        <v>-2</v>
      </c>
      <c r="O19" s="282">
        <f t="shared" ca="1" si="3"/>
        <v>49</v>
      </c>
      <c r="P19" s="282">
        <f t="shared" ca="1" si="4"/>
        <v>1</v>
      </c>
      <c r="Q19" s="289">
        <f t="shared" ca="1" si="5"/>
        <v>2</v>
      </c>
    </row>
    <row r="20" spans="3:17" ht="22.5" x14ac:dyDescent="0.25">
      <c r="C20" s="285">
        <f ca="1">IF(ROW()-2&gt;Start.listina!$O$7,"",INDIRECT(ADDRESS(3+(ROW()-3)*2,$D$2,1,1,"Centrum")))</f>
        <v>38</v>
      </c>
      <c r="D20" s="285">
        <f ca="1">IF(ROW()-2&gt;Start.listina!$O$7,"",INDIRECT(ADDRESS(4+(ROW()-3)*2,$D$2,1,1,"Centrum")))</f>
        <v>44</v>
      </c>
      <c r="E20" s="283" t="str">
        <f ca="1">IF(TYPE(VLOOKUP(C20,Centrum!$A$3:$C$130,3,0))&gt;3," - ",VLOOKUP(C20,Centrum!$A$3:$C$130,3,0))</f>
        <v>38 JAPKO - Stejskal Petr</v>
      </c>
      <c r="F20" s="283" t="str">
        <f ca="1">IF(TYPE(VLOOKUP(D20,Centrum!$A$3:$C$130,3,0))&gt;3," - ",VLOOKUP(D20,Centrum!$A$3:$C$130,3,0))</f>
        <v>44 JAPKO - Vais Martin</v>
      </c>
      <c r="G20" s="463">
        <f>IF(ROW()-2&gt;Start.listina!$O$7,"",ROW()-2)</f>
        <v>18</v>
      </c>
      <c r="H20" s="475">
        <v>10</v>
      </c>
      <c r="I20" s="476">
        <v>11</v>
      </c>
      <c r="K20" s="282">
        <f t="shared" ca="1" si="0"/>
        <v>44</v>
      </c>
      <c r="L20" s="282">
        <f t="shared" ca="1" si="1"/>
        <v>38</v>
      </c>
      <c r="M20" s="282">
        <f t="shared" ca="1" si="2"/>
        <v>0</v>
      </c>
      <c r="N20" s="282">
        <f t="shared" ca="1" si="6"/>
        <v>-1</v>
      </c>
      <c r="O20" s="282">
        <f t="shared" ca="1" si="3"/>
        <v>44</v>
      </c>
      <c r="P20" s="282">
        <f t="shared" ca="1" si="4"/>
        <v>1</v>
      </c>
      <c r="Q20" s="289">
        <f t="shared" ca="1" si="5"/>
        <v>1</v>
      </c>
    </row>
    <row r="21" spans="3:17" ht="22.5" x14ac:dyDescent="0.25">
      <c r="C21" s="285">
        <f ca="1">IF(ROW()-2&gt;Start.listina!$O$7,"",INDIRECT(ADDRESS(3+(ROW()-3)*2,$D$2,1,1,"Centrum")))</f>
        <v>31</v>
      </c>
      <c r="D21" s="285">
        <f ca="1">IF(ROW()-2&gt;Start.listina!$O$7,"",INDIRECT(ADDRESS(4+(ROW()-3)*2,$D$2,1,1,"Centrum")))</f>
        <v>40</v>
      </c>
      <c r="E21" s="283" t="str">
        <f ca="1">IF(TYPE(VLOOKUP(C21,Centrum!$A$3:$C$130,3,0))&gt;3," - ",VLOOKUP(C21,Centrum!$A$3:$C$130,3,0))</f>
        <v>31 SKP Kulová osma - Koudelková Ema</v>
      </c>
      <c r="F21" s="283" t="str">
        <f ca="1">IF(TYPE(VLOOKUP(D21,Centrum!$A$3:$C$130,3,0))&gt;3," - ",VLOOKUP(D21,Centrum!$A$3:$C$130,3,0))</f>
        <v>40 SKP Kulová osma - Fárová Helena</v>
      </c>
      <c r="G21" s="463">
        <f>IF(ROW()-2&gt;Start.listina!$O$7,"",ROW()-2)</f>
        <v>19</v>
      </c>
      <c r="H21" s="475">
        <v>13</v>
      </c>
      <c r="I21" s="476">
        <v>10</v>
      </c>
      <c r="K21" s="282">
        <f t="shared" ca="1" si="0"/>
        <v>40</v>
      </c>
      <c r="L21" s="282">
        <f t="shared" ca="1" si="1"/>
        <v>31</v>
      </c>
      <c r="M21" s="282">
        <f t="shared" ca="1" si="2"/>
        <v>1</v>
      </c>
      <c r="N21" s="282">
        <f t="shared" ca="1" si="6"/>
        <v>3</v>
      </c>
      <c r="O21" s="282">
        <f t="shared" ca="1" si="3"/>
        <v>40</v>
      </c>
      <c r="P21" s="282">
        <f t="shared" ca="1" si="4"/>
        <v>0</v>
      </c>
      <c r="Q21" s="289">
        <f t="shared" ca="1" si="5"/>
        <v>-3</v>
      </c>
    </row>
    <row r="22" spans="3:17" ht="22.5" x14ac:dyDescent="0.25">
      <c r="C22" s="285">
        <f ca="1">IF(ROW()-2&gt;Start.listina!$O$7,"",INDIRECT(ADDRESS(3+(ROW()-3)*2,$D$2,1,1,"Centrum")))</f>
        <v>10</v>
      </c>
      <c r="D22" s="285">
        <f ca="1">IF(ROW()-2&gt;Start.listina!$O$7,"",INDIRECT(ADDRESS(4+(ROW()-3)*2,$D$2,1,1,"Centrum")))</f>
        <v>39</v>
      </c>
      <c r="E22" s="283" t="str">
        <f ca="1">IF(TYPE(VLOOKUP(C22,Centrum!$A$3:$C$130,3,0))&gt;3," - ",VLOOKUP(C22,Centrum!$A$3:$C$130,3,0))</f>
        <v>10 PC Kolová - Plucar Petr</v>
      </c>
      <c r="F22" s="283" t="str">
        <f ca="1">IF(TYPE(VLOOKUP(D22,Centrum!$A$3:$C$130,3,0))&gt;3," - ",VLOOKUP(D22,Centrum!$A$3:$C$130,3,0))</f>
        <v>39 C.T.P. Club Ořech - Glaser Vladimír</v>
      </c>
      <c r="G22" s="463">
        <f>IF(ROW()-2&gt;Start.listina!$O$7,"",ROW()-2)</f>
        <v>20</v>
      </c>
      <c r="H22" s="475">
        <v>13</v>
      </c>
      <c r="I22" s="476">
        <v>6</v>
      </c>
      <c r="K22" s="282">
        <f t="shared" ca="1" si="0"/>
        <v>39</v>
      </c>
      <c r="L22" s="282">
        <f t="shared" ca="1" si="1"/>
        <v>10</v>
      </c>
      <c r="M22" s="282">
        <f t="shared" ca="1" si="2"/>
        <v>1</v>
      </c>
      <c r="N22" s="282">
        <f t="shared" ca="1" si="6"/>
        <v>7</v>
      </c>
      <c r="O22" s="282">
        <f t="shared" ca="1" si="3"/>
        <v>39</v>
      </c>
      <c r="P22" s="282">
        <f t="shared" ca="1" si="4"/>
        <v>0</v>
      </c>
      <c r="Q22" s="289">
        <f t="shared" ca="1" si="5"/>
        <v>-7</v>
      </c>
    </row>
    <row r="23" spans="3:17" ht="22.5" x14ac:dyDescent="0.25">
      <c r="C23" s="285">
        <f ca="1">IF(ROW()-2&gt;Start.listina!$O$7,"",INDIRECT(ADDRESS(3+(ROW()-3)*2,$D$2,1,1,"Centrum")))</f>
        <v>27</v>
      </c>
      <c r="D23" s="285">
        <f ca="1">IF(ROW()-2&gt;Start.listina!$O$7,"",INDIRECT(ADDRESS(4+(ROW()-3)*2,$D$2,1,1,"Centrum")))</f>
        <v>33</v>
      </c>
      <c r="E23" s="283" t="str">
        <f ca="1">IF(TYPE(VLOOKUP(C23,Centrum!$A$3:$C$130,3,0))&gt;3," - ",VLOOKUP(C23,Centrum!$A$3:$C$130,3,0))</f>
        <v>27 Sokol Kostomlaty - Hercoková Milena</v>
      </c>
      <c r="F23" s="283" t="str">
        <f ca="1">IF(TYPE(VLOOKUP(D23,Centrum!$A$3:$C$130,3,0))&gt;3," - ",VLOOKUP(D23,Centrum!$A$3:$C$130,3,0))</f>
        <v>33 CdP Loděnice - Fatka Stanislav ml.</v>
      </c>
      <c r="G23" s="463">
        <f>IF(ROW()-2&gt;Start.listina!$O$7,"",ROW()-2)</f>
        <v>21</v>
      </c>
      <c r="H23" s="475">
        <v>13</v>
      </c>
      <c r="I23" s="476">
        <v>3</v>
      </c>
      <c r="K23" s="282">
        <f t="shared" ca="1" si="0"/>
        <v>33</v>
      </c>
      <c r="L23" s="282">
        <f t="shared" ca="1" si="1"/>
        <v>27</v>
      </c>
      <c r="M23" s="282">
        <f t="shared" ca="1" si="2"/>
        <v>1</v>
      </c>
      <c r="N23" s="282">
        <f t="shared" ca="1" si="6"/>
        <v>10</v>
      </c>
      <c r="O23" s="282">
        <f t="shared" ca="1" si="3"/>
        <v>33</v>
      </c>
      <c r="P23" s="282">
        <f t="shared" ca="1" si="4"/>
        <v>0</v>
      </c>
      <c r="Q23" s="289">
        <f t="shared" ca="1" si="5"/>
        <v>-10</v>
      </c>
    </row>
    <row r="24" spans="3:17" ht="22.5" x14ac:dyDescent="0.25">
      <c r="C24" s="285">
        <f ca="1">IF(ROW()-2&gt;Start.listina!$O$7,"",INDIRECT(ADDRESS(3+(ROW()-3)*2,$D$2,1,1,"Centrum")))</f>
        <v>36</v>
      </c>
      <c r="D24" s="285">
        <f ca="1">IF(ROW()-2&gt;Start.listina!$O$7,"",INDIRECT(ADDRESS(4+(ROW()-3)*2,$D$2,1,1,"Centrum")))</f>
        <v>46</v>
      </c>
      <c r="E24" s="283" t="str">
        <f ca="1">IF(TYPE(VLOOKUP(C24,Centrum!$A$3:$C$130,3,0))&gt;3," - ",VLOOKUP(C24,Centrum!$A$3:$C$130,3,0))</f>
        <v>36 UBU Únětice - Pflimpflová Alexandra</v>
      </c>
      <c r="F24" s="283" t="str">
        <f ca="1">IF(TYPE(VLOOKUP(D24,Centrum!$A$3:$C$130,3,0))&gt;3," - ",VLOOKUP(D24,Centrum!$A$3:$C$130,3,0))</f>
        <v>46 CdP Loděnice - Hytych Petr</v>
      </c>
      <c r="G24" s="463">
        <f>IF(ROW()-2&gt;Start.listina!$O$7,"",ROW()-2)</f>
        <v>22</v>
      </c>
      <c r="H24" s="475">
        <v>6</v>
      </c>
      <c r="I24" s="476">
        <v>13</v>
      </c>
      <c r="K24" s="282">
        <f t="shared" ca="1" si="0"/>
        <v>46</v>
      </c>
      <c r="L24" s="282">
        <f t="shared" ca="1" si="1"/>
        <v>36</v>
      </c>
      <c r="M24" s="282">
        <f t="shared" ca="1" si="2"/>
        <v>0</v>
      </c>
      <c r="N24" s="282">
        <f t="shared" ca="1" si="6"/>
        <v>-7</v>
      </c>
      <c r="O24" s="282">
        <f t="shared" ca="1" si="3"/>
        <v>46</v>
      </c>
      <c r="P24" s="282">
        <f t="shared" ca="1" si="4"/>
        <v>1</v>
      </c>
      <c r="Q24" s="289">
        <f t="shared" ca="1" si="5"/>
        <v>7</v>
      </c>
    </row>
    <row r="25" spans="3:17" ht="22.5" x14ac:dyDescent="0.25">
      <c r="C25" s="285">
        <f ca="1">IF(ROW()-2&gt;Start.listina!$O$7,"",INDIRECT(ADDRESS(3+(ROW()-3)*2,$D$2,1,1,"Centrum")))</f>
        <v>42</v>
      </c>
      <c r="D25" s="285">
        <f ca="1">IF(ROW()-2&gt;Start.listina!$O$7,"",INDIRECT(ADDRESS(4+(ROW()-3)*2,$D$2,1,1,"Centrum")))</f>
        <v>47</v>
      </c>
      <c r="E25" s="283" t="str">
        <f ca="1">IF(TYPE(VLOOKUP(C25,Centrum!$A$3:$C$130,3,0))&gt;3," - ",VLOOKUP(C25,Centrum!$A$3:$C$130,3,0))</f>
        <v>42 SK Španielka Řepy - Procházka Josef</v>
      </c>
      <c r="F25" s="283" t="str">
        <f ca="1">IF(TYPE(VLOOKUP(D25,Centrum!$A$3:$C$130,3,0))&gt;3," - ",VLOOKUP(D25,Centrum!$A$3:$C$130,3,0))</f>
        <v>47 Club Rodamiento - Soukupová Irena</v>
      </c>
      <c r="G25" s="463">
        <f>IF(ROW()-2&gt;Start.listina!$O$7,"",ROW()-2)</f>
        <v>23</v>
      </c>
      <c r="H25" s="475">
        <v>7</v>
      </c>
      <c r="I25" s="476">
        <v>13</v>
      </c>
      <c r="K25" s="282">
        <f t="shared" ca="1" si="0"/>
        <v>47</v>
      </c>
      <c r="L25" s="282">
        <f t="shared" ca="1" si="1"/>
        <v>42</v>
      </c>
      <c r="M25" s="282">
        <f t="shared" ca="1" si="2"/>
        <v>0</v>
      </c>
      <c r="N25" s="282">
        <f t="shared" ca="1" si="6"/>
        <v>-6</v>
      </c>
      <c r="O25" s="282">
        <f t="shared" ca="1" si="3"/>
        <v>47</v>
      </c>
      <c r="P25" s="282">
        <f t="shared" ca="1" si="4"/>
        <v>1</v>
      </c>
      <c r="Q25" s="289">
        <f t="shared" ca="1" si="5"/>
        <v>6</v>
      </c>
    </row>
    <row r="26" spans="3:17" ht="22.5" x14ac:dyDescent="0.25">
      <c r="C26" s="285">
        <f ca="1">IF(ROW()-2&gt;Start.listina!$O$7,"",INDIRECT(ADDRESS(3+(ROW()-3)*2,$D$2,1,1,"Centrum")))</f>
        <v>18</v>
      </c>
      <c r="D26" s="285">
        <f ca="1">IF(ROW()-2&gt;Start.listina!$O$7,"",INDIRECT(ADDRESS(4+(ROW()-3)*2,$D$2,1,1,"Centrum")))</f>
        <v>37</v>
      </c>
      <c r="E26" s="283" t="str">
        <f ca="1">IF(TYPE(VLOOKUP(C26,Centrum!$A$3:$C$130,3,0))&gt;3," - ",VLOOKUP(C26,Centrum!$A$3:$C$130,3,0))</f>
        <v>18 Club Rodamiento - Chmelař Ivo</v>
      </c>
      <c r="F26" s="283" t="str">
        <f ca="1">IF(TYPE(VLOOKUP(D26,Centrum!$A$3:$C$130,3,0))&gt;3," - ",VLOOKUP(D26,Centrum!$A$3:$C$130,3,0))</f>
        <v>37 Club Rodamiento - Moos Daniel</v>
      </c>
      <c r="G26" s="463">
        <f>IF(ROW()-2&gt;Start.listina!$O$7,"",ROW()-2)</f>
        <v>24</v>
      </c>
      <c r="H26" s="475">
        <v>13</v>
      </c>
      <c r="I26" s="476">
        <v>4</v>
      </c>
      <c r="K26" s="282">
        <f t="shared" ca="1" si="0"/>
        <v>37</v>
      </c>
      <c r="L26" s="282">
        <f t="shared" ca="1" si="1"/>
        <v>18</v>
      </c>
      <c r="M26" s="282">
        <f t="shared" ca="1" si="2"/>
        <v>1</v>
      </c>
      <c r="N26" s="282">
        <f t="shared" ca="1" si="6"/>
        <v>9</v>
      </c>
      <c r="O26" s="282">
        <f t="shared" ca="1" si="3"/>
        <v>37</v>
      </c>
      <c r="P26" s="282">
        <f t="shared" ca="1" si="4"/>
        <v>0</v>
      </c>
      <c r="Q26" s="289">
        <f t="shared" ca="1" si="5"/>
        <v>-9</v>
      </c>
    </row>
    <row r="27" spans="3:17" ht="22.5" x14ac:dyDescent="0.25">
      <c r="C27" s="285">
        <f ca="1">IF(ROW()-2&gt;Start.listina!$O$7,"",INDIRECT(ADDRESS(3+(ROW()-3)*2,$D$2,1,1,"Centrum")))</f>
        <v>41</v>
      </c>
      <c r="D27" s="285">
        <f ca="1">IF(ROW()-2&gt;Start.listina!$O$7,"",INDIRECT(ADDRESS(4+(ROW()-3)*2,$D$2,1,1,"Centrum")))</f>
        <v>30</v>
      </c>
      <c r="E27" s="283" t="str">
        <f ca="1">IF(TYPE(VLOOKUP(C27,Centrum!$A$3:$C$130,3,0))&gt;3," - ",VLOOKUP(C27,Centrum!$A$3:$C$130,3,0))</f>
        <v>41 CdP Loděnice - Janoš Jiří</v>
      </c>
      <c r="F27" s="283" t="str">
        <f ca="1">IF(TYPE(VLOOKUP(D27,Centrum!$A$3:$C$130,3,0))&gt;3," - ",VLOOKUP(D27,Centrum!$A$3:$C$130,3,0))</f>
        <v>30 SKP Kulová osma - Slapnička Václav</v>
      </c>
      <c r="G27" s="463">
        <f>IF(ROW()-2&gt;Start.listina!$O$7,"",ROW()-2)</f>
        <v>25</v>
      </c>
      <c r="H27" s="475">
        <v>12</v>
      </c>
      <c r="I27" s="476">
        <v>11</v>
      </c>
      <c r="K27" s="282">
        <f t="shared" ca="1" si="0"/>
        <v>30</v>
      </c>
      <c r="L27" s="282">
        <f t="shared" ca="1" si="1"/>
        <v>41</v>
      </c>
      <c r="M27" s="282">
        <f t="shared" ca="1" si="2"/>
        <v>1</v>
      </c>
      <c r="N27" s="282">
        <f t="shared" ca="1" si="6"/>
        <v>1</v>
      </c>
      <c r="O27" s="282">
        <f t="shared" ca="1" si="3"/>
        <v>30</v>
      </c>
      <c r="P27" s="282">
        <f t="shared" ca="1" si="4"/>
        <v>0</v>
      </c>
      <c r="Q27" s="289">
        <f t="shared" ca="1" si="5"/>
        <v>-1</v>
      </c>
    </row>
    <row r="28" spans="3:17" ht="22.5" x14ac:dyDescent="0.25">
      <c r="C28" s="285">
        <f ca="1">IF(ROW()-2&gt;Start.listina!$O$7,"",INDIRECT(ADDRESS(3+(ROW()-3)*2,$D$2,1,1,"Centrum")))</f>
        <v>34</v>
      </c>
      <c r="D28" s="285" t="str">
        <f ca="1">IF(ROW()-2&gt;Start.listina!$O$7,"",INDIRECT(ADDRESS(4+(ROW()-3)*2,$D$2,1,1,"Centrum")))</f>
        <v/>
      </c>
      <c r="E28" s="283" t="str">
        <f ca="1">IF(TYPE(VLOOKUP(C28,Centrum!$A$3:$C$130,3,0))&gt;3," - ",VLOOKUP(C28,Centrum!$A$3:$C$130,3,0))</f>
        <v>34 UBU Únětice - Bayer Milan</v>
      </c>
      <c r="F28" s="283" t="str">
        <f ca="1">IF(TYPE(VLOOKUP(D28,Centrum!$A$3:$C$130,3,0))&gt;3," - ",VLOOKUP(D28,Centrum!$A$3:$C$130,3,0))</f>
        <v xml:space="preserve"> - </v>
      </c>
      <c r="G28" s="463">
        <f>IF(ROW()-2&gt;Start.listina!$O$7,"",ROW()-2)</f>
        <v>26</v>
      </c>
      <c r="H28" s="475">
        <v>13</v>
      </c>
      <c r="I28" s="476">
        <v>7</v>
      </c>
      <c r="K28" s="282" t="str">
        <f t="shared" ca="1" si="0"/>
        <v/>
      </c>
      <c r="L28" s="282">
        <f t="shared" ca="1" si="1"/>
        <v>34</v>
      </c>
      <c r="M28" s="282">
        <f t="shared" ca="1" si="2"/>
        <v>1</v>
      </c>
      <c r="N28" s="282">
        <f t="shared" ca="1" si="6"/>
        <v>6</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475"/>
      <c r="I29" s="476"/>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475"/>
      <c r="I30" s="476"/>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475"/>
      <c r="I31" s="476"/>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475"/>
      <c r="I32" s="476"/>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475"/>
      <c r="I33" s="476"/>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NuZhhmjVGVOzC6DEGTDJXwA6cMuJgTEe504/5Jg/J8BgbKU04VnjstXiDM7R216MOpHx/fJ91T9oc+cTSidpQg==" saltValue="Rqg3QhR1xct5LErd6VHy2g=="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888</v>
      </c>
      <c r="F1" s="284" t="str">
        <f>Start.listina!$K$4</f>
        <v>Memoriál CdP Loděnice</v>
      </c>
      <c r="G1" s="1"/>
      <c r="H1" s="489" t="str">
        <f>Start.listina!$K$3</f>
        <v>16.07.2016</v>
      </c>
      <c r="I1" s="490"/>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854</v>
      </c>
      <c r="F2" s="8" t="s">
        <v>855</v>
      </c>
      <c r="G2" s="280" t="s">
        <v>1017</v>
      </c>
      <c r="H2" s="487" t="s">
        <v>853</v>
      </c>
      <c r="I2" s="488"/>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11</v>
      </c>
      <c r="D3" s="285">
        <f ca="1">IF(ROW()-2&gt;Start.listina!$O$7,"",INDIRECT(ADDRESS(4+(ROW()-3)*2,$D$2,1,1,"Centrum")))</f>
        <v>43</v>
      </c>
      <c r="E3" s="283" t="str">
        <f ca="1">IF(TYPE(VLOOKUP(C3,Centrum!$A$3:$C$130,3,0))&gt;3," - ",VLOOKUP(C3,Centrum!$A$3:$C$130,3,0))</f>
        <v>11 PC Sokol Lipník - Froňková Blanka</v>
      </c>
      <c r="F3" s="283" t="str">
        <f ca="1">IF(TYPE(VLOOKUP(D3,Centrum!$A$3:$C$130,3,0))&gt;3," - ",VLOOKUP(D3,Centrum!$A$3:$C$130,3,0))</f>
        <v>43 SK Španielka Řepy - Holoubek Pavel</v>
      </c>
      <c r="G3" s="463">
        <f>IF(ROW()-2&gt;Start.listina!$O$7,"",ROW()-2)</f>
        <v>1</v>
      </c>
      <c r="H3" s="475">
        <v>13</v>
      </c>
      <c r="I3" s="476">
        <v>8</v>
      </c>
      <c r="K3" s="282">
        <f t="shared" ref="K3:K65" ca="1" si="0">IF(TRIM($F3)="-","",$D3)</f>
        <v>43</v>
      </c>
      <c r="L3" s="282">
        <f t="shared" ref="L3:L65" ca="1" si="1">IF(TRIM($E3)="-","",$C3)</f>
        <v>11</v>
      </c>
      <c r="M3" s="282">
        <f t="shared" ref="M3:M65" ca="1" si="2">IF(AND(TRIM($E3)&lt;&gt;"-",$H3&gt;$I3),1,0)</f>
        <v>1</v>
      </c>
      <c r="N3" s="282">
        <f ca="1">IF(TRIM($E3)="-",0,$H3-$I3)</f>
        <v>5</v>
      </c>
      <c r="O3" s="282">
        <f t="shared" ref="O3:O65" ca="1" si="3">IF(TRIM($F3)="-","",$D3)</f>
        <v>43</v>
      </c>
      <c r="P3" s="282">
        <f t="shared" ref="P3:P65" ca="1" si="4">IF(AND(TRIM($F3)&lt;&gt;"-",$I3&gt;$H3),1,0)</f>
        <v>0</v>
      </c>
      <c r="Q3" s="288">
        <f t="shared" ref="Q3:Q65" ca="1" si="5">IF(TRIM($F3)="-",0,$I3-$H3)</f>
        <v>-5</v>
      </c>
    </row>
    <row r="4" spans="3:35" ht="22.5" x14ac:dyDescent="0.25">
      <c r="C4" s="285">
        <f ca="1">IF(ROW()-2&gt;Start.listina!$O$7,"",INDIRECT(ADDRESS(3+(ROW()-3)*2,$D$2,1,1,"Centrum")))</f>
        <v>6</v>
      </c>
      <c r="D4" s="285">
        <f ca="1">IF(ROW()-2&gt;Start.listina!$O$7,"",INDIRECT(ADDRESS(4+(ROW()-3)*2,$D$2,1,1,"Centrum")))</f>
        <v>12</v>
      </c>
      <c r="E4" s="283" t="str">
        <f ca="1">IF(TYPE(VLOOKUP(C4,Centrum!$A$3:$C$130,3,0))&gt;3," - ",VLOOKUP(C4,Centrum!$A$3:$C$130,3,0))</f>
        <v>6 SK Sahara Vědomice - Demčíková Jiřina</v>
      </c>
      <c r="F4" s="283" t="str">
        <f ca="1">IF(TYPE(VLOOKUP(D4,Centrum!$A$3:$C$130,3,0))&gt;3," - ",VLOOKUP(D4,Centrum!$A$3:$C$130,3,0))</f>
        <v>12 CdP Loděnice - Marhoul Jan</v>
      </c>
      <c r="G4" s="463">
        <f>IF(ROW()-2&gt;Start.listina!$O$7,"",ROW()-2)</f>
        <v>2</v>
      </c>
      <c r="H4" s="475">
        <v>13</v>
      </c>
      <c r="I4" s="476">
        <v>5</v>
      </c>
      <c r="K4" s="282">
        <f t="shared" ca="1" si="0"/>
        <v>12</v>
      </c>
      <c r="L4" s="282">
        <f t="shared" ca="1" si="1"/>
        <v>6</v>
      </c>
      <c r="M4" s="282">
        <f t="shared" ca="1" si="2"/>
        <v>1</v>
      </c>
      <c r="N4" s="282">
        <f t="shared" ref="N4:N66" ca="1" si="6">IF(TRIM($E4)="-",0,$H4-$I4)</f>
        <v>8</v>
      </c>
      <c r="O4" s="282">
        <f t="shared" ca="1" si="3"/>
        <v>12</v>
      </c>
      <c r="P4" s="282">
        <f t="shared" ca="1" si="4"/>
        <v>0</v>
      </c>
      <c r="Q4" s="289">
        <f t="shared" ca="1" si="5"/>
        <v>-8</v>
      </c>
    </row>
    <row r="5" spans="3:35" ht="22.5" x14ac:dyDescent="0.25">
      <c r="C5" s="285">
        <f ca="1">IF(ROW()-2&gt;Start.listina!$O$7,"",INDIRECT(ADDRESS(3+(ROW()-3)*2,$D$2,1,1,"Centrum")))</f>
        <v>19</v>
      </c>
      <c r="D5" s="285">
        <f ca="1">IF(ROW()-2&gt;Start.listina!$O$7,"",INDIRECT(ADDRESS(4+(ROW()-3)*2,$D$2,1,1,"Centrum")))</f>
        <v>2</v>
      </c>
      <c r="E5" s="283" t="str">
        <f ca="1">IF(TYPE(VLOOKUP(C5,Centrum!$A$3:$C$130,3,0))&gt;3," - ",VLOOKUP(C5,Centrum!$A$3:$C$130,3,0))</f>
        <v>19 Petank Club Praha - Vorel Jan</v>
      </c>
      <c r="F5" s="283" t="str">
        <f ca="1">IF(TYPE(VLOOKUP(D5,Centrum!$A$3:$C$130,3,0))&gt;3," - ",VLOOKUP(D5,Centrum!$A$3:$C$130,3,0))</f>
        <v>2 PC Sokol Lipník - Fafek Petr</v>
      </c>
      <c r="G5" s="463">
        <f>IF(ROW()-2&gt;Start.listina!$O$7,"",ROW()-2)</f>
        <v>3</v>
      </c>
      <c r="H5" s="475">
        <v>3</v>
      </c>
      <c r="I5" s="476">
        <v>13</v>
      </c>
      <c r="K5" s="282">
        <f t="shared" ca="1" si="0"/>
        <v>2</v>
      </c>
      <c r="L5" s="282">
        <f t="shared" ca="1" si="1"/>
        <v>19</v>
      </c>
      <c r="M5" s="282">
        <f t="shared" ca="1" si="2"/>
        <v>0</v>
      </c>
      <c r="N5" s="282">
        <f t="shared" ca="1" si="6"/>
        <v>-10</v>
      </c>
      <c r="O5" s="282">
        <f t="shared" ca="1" si="3"/>
        <v>2</v>
      </c>
      <c r="P5" s="282">
        <f t="shared" ca="1" si="4"/>
        <v>1</v>
      </c>
      <c r="Q5" s="289">
        <f t="shared" ca="1" si="5"/>
        <v>10</v>
      </c>
    </row>
    <row r="6" spans="3:35" ht="22.5" x14ac:dyDescent="0.25">
      <c r="C6" s="285">
        <f ca="1">IF(ROW()-2&gt;Start.listina!$O$7,"",INDIRECT(ADDRESS(3+(ROW()-3)*2,$D$2,1,1,"Centrum")))</f>
        <v>3</v>
      </c>
      <c r="D6" s="285">
        <f ca="1">IF(ROW()-2&gt;Start.listina!$O$7,"",INDIRECT(ADDRESS(4+(ROW()-3)*2,$D$2,1,1,"Centrum")))</f>
        <v>35</v>
      </c>
      <c r="E6" s="283" t="str">
        <f ca="1">IF(TYPE(VLOOKUP(C6,Centrum!$A$3:$C$130,3,0))&gt;3," - ",VLOOKUP(C6,Centrum!$A$3:$C$130,3,0))</f>
        <v>3 Petank Club Praha - Klír Tomáš</v>
      </c>
      <c r="F6" s="283" t="str">
        <f ca="1">IF(TYPE(VLOOKUP(D6,Centrum!$A$3:$C$130,3,0))&gt;3," - ",VLOOKUP(D6,Centrum!$A$3:$C$130,3,0))</f>
        <v>35 Spolek Park Grébovka - Nepomucký Jaroslav</v>
      </c>
      <c r="G6" s="463">
        <f>IF(ROW()-2&gt;Start.listina!$O$7,"",ROW()-2)</f>
        <v>4</v>
      </c>
      <c r="H6" s="475">
        <v>6</v>
      </c>
      <c r="I6" s="476">
        <v>10</v>
      </c>
      <c r="K6" s="282">
        <f t="shared" ca="1" si="0"/>
        <v>35</v>
      </c>
      <c r="L6" s="282">
        <f t="shared" ca="1" si="1"/>
        <v>3</v>
      </c>
      <c r="M6" s="282">
        <f t="shared" ca="1" si="2"/>
        <v>0</v>
      </c>
      <c r="N6" s="282">
        <f t="shared" ca="1" si="6"/>
        <v>-4</v>
      </c>
      <c r="O6" s="282">
        <f t="shared" ca="1" si="3"/>
        <v>35</v>
      </c>
      <c r="P6" s="282">
        <f t="shared" ca="1" si="4"/>
        <v>1</v>
      </c>
      <c r="Q6" s="289">
        <f t="shared" ca="1" si="5"/>
        <v>4</v>
      </c>
    </row>
    <row r="7" spans="3:35" ht="22.5" x14ac:dyDescent="0.25">
      <c r="C7" s="285">
        <f ca="1">IF(ROW()-2&gt;Start.listina!$O$7,"",INDIRECT(ADDRESS(3+(ROW()-3)*2,$D$2,1,1,"Centrum")))</f>
        <v>13</v>
      </c>
      <c r="D7" s="285">
        <f ca="1">IF(ROW()-2&gt;Start.listina!$O$7,"",INDIRECT(ADDRESS(4+(ROW()-3)*2,$D$2,1,1,"Centrum")))</f>
        <v>44</v>
      </c>
      <c r="E7" s="283" t="str">
        <f ca="1">IF(TYPE(VLOOKUP(C7,Centrum!$A$3:$C$130,3,0))&gt;3," - ",VLOOKUP(C7,Centrum!$A$3:$C$130,3,0))</f>
        <v>13 PC Sokol Lipník - Fafková Jana</v>
      </c>
      <c r="F7" s="283" t="str">
        <f ca="1">IF(TYPE(VLOOKUP(D7,Centrum!$A$3:$C$130,3,0))&gt;3," - ",VLOOKUP(D7,Centrum!$A$3:$C$130,3,0))</f>
        <v>44 JAPKO - Vais Martin</v>
      </c>
      <c r="G7" s="463">
        <f>IF(ROW()-2&gt;Start.listina!$O$7,"",ROW()-2)</f>
        <v>5</v>
      </c>
      <c r="H7" s="475">
        <v>1</v>
      </c>
      <c r="I7" s="476">
        <v>13</v>
      </c>
      <c r="K7" s="282">
        <f t="shared" ca="1" si="0"/>
        <v>44</v>
      </c>
      <c r="L7" s="282">
        <f t="shared" ca="1" si="1"/>
        <v>13</v>
      </c>
      <c r="M7" s="282">
        <f t="shared" ca="1" si="2"/>
        <v>0</v>
      </c>
      <c r="N7" s="282">
        <f t="shared" ca="1" si="6"/>
        <v>-12</v>
      </c>
      <c r="O7" s="282">
        <f t="shared" ca="1" si="3"/>
        <v>44</v>
      </c>
      <c r="P7" s="282">
        <f t="shared" ca="1" si="4"/>
        <v>1</v>
      </c>
      <c r="Q7" s="289">
        <f t="shared" ca="1" si="5"/>
        <v>12</v>
      </c>
    </row>
    <row r="8" spans="3:35" ht="22.5" x14ac:dyDescent="0.25">
      <c r="C8" s="285">
        <f ca="1">IF(ROW()-2&gt;Start.listina!$O$7,"",INDIRECT(ADDRESS(3+(ROW()-3)*2,$D$2,1,1,"Centrum")))</f>
        <v>22</v>
      </c>
      <c r="D8" s="285">
        <f ca="1">IF(ROW()-2&gt;Start.listina!$O$7,"",INDIRECT(ADDRESS(4+(ROW()-3)*2,$D$2,1,1,"Centrum")))</f>
        <v>24</v>
      </c>
      <c r="E8" s="283" t="str">
        <f ca="1">IF(TYPE(VLOOKUP(C8,Centrum!$A$3:$C$130,3,0))&gt;3," - ",VLOOKUP(C8,Centrum!$A$3:$C$130,3,0))</f>
        <v>22 UBU Únětice - Palas Pavel</v>
      </c>
      <c r="F8" s="283" t="str">
        <f ca="1">IF(TYPE(VLOOKUP(D8,Centrum!$A$3:$C$130,3,0))&gt;3," - ",VLOOKUP(D8,Centrum!$A$3:$C$130,3,0))</f>
        <v>24 CdP Loděnice - Čermák Jiří</v>
      </c>
      <c r="G8" s="463">
        <f>IF(ROW()-2&gt;Start.listina!$O$7,"",ROW()-2)</f>
        <v>6</v>
      </c>
      <c r="H8" s="475">
        <v>13</v>
      </c>
      <c r="I8" s="476">
        <v>7</v>
      </c>
      <c r="K8" s="282">
        <f t="shared" ca="1" si="0"/>
        <v>24</v>
      </c>
      <c r="L8" s="282">
        <f t="shared" ca="1" si="1"/>
        <v>22</v>
      </c>
      <c r="M8" s="282">
        <f t="shared" ca="1" si="2"/>
        <v>1</v>
      </c>
      <c r="N8" s="282">
        <f t="shared" ca="1" si="6"/>
        <v>6</v>
      </c>
      <c r="O8" s="282">
        <f t="shared" ca="1" si="3"/>
        <v>24</v>
      </c>
      <c r="P8" s="282">
        <f t="shared" ca="1" si="4"/>
        <v>0</v>
      </c>
      <c r="Q8" s="289">
        <f t="shared" ca="1" si="5"/>
        <v>-6</v>
      </c>
    </row>
    <row r="9" spans="3:35" ht="22.5" x14ac:dyDescent="0.25">
      <c r="C9" s="285">
        <f ca="1">IF(ROW()-2&gt;Start.listina!$O$7,"",INDIRECT(ADDRESS(3+(ROW()-3)*2,$D$2,1,1,"Centrum")))</f>
        <v>50</v>
      </c>
      <c r="D9" s="285">
        <f ca="1">IF(ROW()-2&gt;Start.listina!$O$7,"",INDIRECT(ADDRESS(4+(ROW()-3)*2,$D$2,1,1,"Centrum")))</f>
        <v>20</v>
      </c>
      <c r="E9" s="283" t="str">
        <f ca="1">IF(TYPE(VLOOKUP(C9,Centrum!$A$3:$C$130,3,0))&gt;3," - ",VLOOKUP(C9,Centrum!$A$3:$C$130,3,0))</f>
        <v>50 SK Španielka Řepy - Čaněk Radovan</v>
      </c>
      <c r="F9" s="283" t="str">
        <f ca="1">IF(TYPE(VLOOKUP(D9,Centrum!$A$3:$C$130,3,0))&gt;3," - ",VLOOKUP(D9,Centrum!$A$3:$C$130,3,0))</f>
        <v>20 Club Rodamiento - Dlouhá Ivana</v>
      </c>
      <c r="G9" s="463">
        <f>IF(ROW()-2&gt;Start.listina!$O$7,"",ROW()-2)</f>
        <v>7</v>
      </c>
      <c r="H9" s="475">
        <v>6</v>
      </c>
      <c r="I9" s="476">
        <v>13</v>
      </c>
      <c r="K9" s="282">
        <f t="shared" ca="1" si="0"/>
        <v>20</v>
      </c>
      <c r="L9" s="282">
        <f t="shared" ca="1" si="1"/>
        <v>50</v>
      </c>
      <c r="M9" s="282">
        <f t="shared" ca="1" si="2"/>
        <v>0</v>
      </c>
      <c r="N9" s="282">
        <f t="shared" ca="1" si="6"/>
        <v>-7</v>
      </c>
      <c r="O9" s="282">
        <f t="shared" ca="1" si="3"/>
        <v>20</v>
      </c>
      <c r="P9" s="282">
        <f t="shared" ca="1" si="4"/>
        <v>1</v>
      </c>
      <c r="Q9" s="289">
        <f t="shared" ca="1" si="5"/>
        <v>7</v>
      </c>
    </row>
    <row r="10" spans="3:35" ht="22.5" x14ac:dyDescent="0.25">
      <c r="C10" s="285">
        <f ca="1">IF(ROW()-2&gt;Start.listina!$O$7,"",INDIRECT(ADDRESS(3+(ROW()-3)*2,$D$2,1,1,"Centrum")))</f>
        <v>14</v>
      </c>
      <c r="D10" s="285">
        <f ca="1">IF(ROW()-2&gt;Start.listina!$O$7,"",INDIRECT(ADDRESS(4+(ROW()-3)*2,$D$2,1,1,"Centrum")))</f>
        <v>16</v>
      </c>
      <c r="E10" s="283" t="str">
        <f ca="1">IF(TYPE(VLOOKUP(C10,Centrum!$A$3:$C$130,3,0))&gt;3," - ",VLOOKUP(C10,Centrum!$A$3:$C$130,3,0))</f>
        <v>14 Sokol Kostomlaty - Vaníček Rudolf</v>
      </c>
      <c r="F10" s="283" t="str">
        <f ca="1">IF(TYPE(VLOOKUP(D10,Centrum!$A$3:$C$130,3,0))&gt;3," - ",VLOOKUP(D10,Centrum!$A$3:$C$130,3,0))</f>
        <v>16 FRAPECO - Felčárek Jaroslav</v>
      </c>
      <c r="G10" s="463">
        <f>IF(ROW()-2&gt;Start.listina!$O$7,"",ROW()-2)</f>
        <v>8</v>
      </c>
      <c r="H10" s="475">
        <v>6</v>
      </c>
      <c r="I10" s="476">
        <v>13</v>
      </c>
      <c r="K10" s="282">
        <f t="shared" ca="1" si="0"/>
        <v>16</v>
      </c>
      <c r="L10" s="282">
        <f t="shared" ca="1" si="1"/>
        <v>14</v>
      </c>
      <c r="M10" s="282">
        <f t="shared" ca="1" si="2"/>
        <v>0</v>
      </c>
      <c r="N10" s="282">
        <f t="shared" ca="1" si="6"/>
        <v>-7</v>
      </c>
      <c r="O10" s="282">
        <f t="shared" ca="1" si="3"/>
        <v>16</v>
      </c>
      <c r="P10" s="282">
        <f t="shared" ca="1" si="4"/>
        <v>1</v>
      </c>
      <c r="Q10" s="289">
        <f t="shared" ca="1" si="5"/>
        <v>7</v>
      </c>
    </row>
    <row r="11" spans="3:35" ht="22.5" x14ac:dyDescent="0.25">
      <c r="C11" s="285">
        <f ca="1">IF(ROW()-2&gt;Start.listina!$O$7,"",INDIRECT(ADDRESS(3+(ROW()-3)*2,$D$2,1,1,"Centrum")))</f>
        <v>31</v>
      </c>
      <c r="D11" s="285">
        <f ca="1">IF(ROW()-2&gt;Start.listina!$O$7,"",INDIRECT(ADDRESS(4+(ROW()-3)*2,$D$2,1,1,"Centrum")))</f>
        <v>45</v>
      </c>
      <c r="E11" s="283" t="str">
        <f ca="1">IF(TYPE(VLOOKUP(C11,Centrum!$A$3:$C$130,3,0))&gt;3," - ",VLOOKUP(C11,Centrum!$A$3:$C$130,3,0))</f>
        <v>31 SKP Kulová osma - Koudelková Ema</v>
      </c>
      <c r="F11" s="283" t="str">
        <f ca="1">IF(TYPE(VLOOKUP(D11,Centrum!$A$3:$C$130,3,0))&gt;3," - ",VLOOKUP(D11,Centrum!$A$3:$C$130,3,0))</f>
        <v>45 Spolek Park Grébovka - Kremlík Miroslav</v>
      </c>
      <c r="G11" s="463">
        <f>IF(ROW()-2&gt;Start.listina!$O$7,"",ROW()-2)</f>
        <v>9</v>
      </c>
      <c r="H11" s="475">
        <v>6</v>
      </c>
      <c r="I11" s="476">
        <v>13</v>
      </c>
      <c r="K11" s="282">
        <f t="shared" ca="1" si="0"/>
        <v>45</v>
      </c>
      <c r="L11" s="282">
        <f t="shared" ca="1" si="1"/>
        <v>31</v>
      </c>
      <c r="M11" s="282">
        <f t="shared" ca="1" si="2"/>
        <v>0</v>
      </c>
      <c r="N11" s="282">
        <f t="shared" ca="1" si="6"/>
        <v>-7</v>
      </c>
      <c r="O11" s="282">
        <f t="shared" ca="1" si="3"/>
        <v>45</v>
      </c>
      <c r="P11" s="282">
        <f t="shared" ca="1" si="4"/>
        <v>1</v>
      </c>
      <c r="Q11" s="289">
        <f t="shared" ca="1" si="5"/>
        <v>7</v>
      </c>
    </row>
    <row r="12" spans="3:35" ht="22.5" x14ac:dyDescent="0.25">
      <c r="C12" s="285">
        <f ca="1">IF(ROW()-2&gt;Start.listina!$O$7,"",INDIRECT(ADDRESS(3+(ROW()-3)*2,$D$2,1,1,"Centrum")))</f>
        <v>21</v>
      </c>
      <c r="D12" s="285">
        <f ca="1">IF(ROW()-2&gt;Start.listina!$O$7,"",INDIRECT(ADDRESS(4+(ROW()-3)*2,$D$2,1,1,"Centrum")))</f>
        <v>9</v>
      </c>
      <c r="E12" s="283" t="str">
        <f ca="1">IF(TYPE(VLOOKUP(C12,Centrum!$A$3:$C$130,3,0))&gt;3," - ",VLOOKUP(C12,Centrum!$A$3:$C$130,3,0))</f>
        <v>21 JAPKO - Kubík Jaroslav</v>
      </c>
      <c r="F12" s="283" t="str">
        <f ca="1">IF(TYPE(VLOOKUP(D12,Centrum!$A$3:$C$130,3,0))&gt;3," - ",VLOOKUP(D12,Centrum!$A$3:$C$130,3,0))</f>
        <v>9 PK Osika Plzeň - Mráz Václav</v>
      </c>
      <c r="G12" s="463">
        <f>IF(ROW()-2&gt;Start.listina!$O$7,"",ROW()-2)</f>
        <v>10</v>
      </c>
      <c r="H12" s="475">
        <v>5</v>
      </c>
      <c r="I12" s="476">
        <v>12</v>
      </c>
      <c r="K12" s="282">
        <f t="shared" ca="1" si="0"/>
        <v>9</v>
      </c>
      <c r="L12" s="282">
        <f t="shared" ca="1" si="1"/>
        <v>21</v>
      </c>
      <c r="M12" s="282">
        <f t="shared" ca="1" si="2"/>
        <v>0</v>
      </c>
      <c r="N12" s="282">
        <f t="shared" ca="1" si="6"/>
        <v>-7</v>
      </c>
      <c r="O12" s="282">
        <f t="shared" ca="1" si="3"/>
        <v>9</v>
      </c>
      <c r="P12" s="282">
        <f t="shared" ca="1" si="4"/>
        <v>1</v>
      </c>
      <c r="Q12" s="289">
        <f t="shared" ca="1" si="5"/>
        <v>7</v>
      </c>
    </row>
    <row r="13" spans="3:35" ht="22.5" x14ac:dyDescent="0.25">
      <c r="C13" s="285">
        <f ca="1">IF(ROW()-2&gt;Start.listina!$O$7,"",INDIRECT(ADDRESS(3+(ROW()-3)*2,$D$2,1,1,"Centrum")))</f>
        <v>7</v>
      </c>
      <c r="D13" s="285">
        <f ca="1">IF(ROW()-2&gt;Start.listina!$O$7,"",INDIRECT(ADDRESS(4+(ROW()-3)*2,$D$2,1,1,"Centrum")))</f>
        <v>25</v>
      </c>
      <c r="E13" s="283" t="str">
        <f ca="1">IF(TYPE(VLOOKUP(C13,Centrum!$A$3:$C$130,3,0))&gt;3," - ",VLOOKUP(C13,Centrum!$A$3:$C$130,3,0))</f>
        <v>7 PC Kolová - Kacerovský Ivo</v>
      </c>
      <c r="F13" s="283" t="str">
        <f ca="1">IF(TYPE(VLOOKUP(D13,Centrum!$A$3:$C$130,3,0))&gt;3," - ",VLOOKUP(D13,Centrum!$A$3:$C$130,3,0))</f>
        <v>25 PK Osika Plzeň - Špitálský Milan</v>
      </c>
      <c r="G13" s="463">
        <f>IF(ROW()-2&gt;Start.listina!$O$7,"",ROW()-2)</f>
        <v>11</v>
      </c>
      <c r="H13" s="475">
        <v>12</v>
      </c>
      <c r="I13" s="476">
        <v>10</v>
      </c>
      <c r="K13" s="282">
        <f t="shared" ca="1" si="0"/>
        <v>25</v>
      </c>
      <c r="L13" s="282">
        <f t="shared" ca="1" si="1"/>
        <v>7</v>
      </c>
      <c r="M13" s="282">
        <f t="shared" ca="1" si="2"/>
        <v>1</v>
      </c>
      <c r="N13" s="282">
        <f t="shared" ca="1" si="6"/>
        <v>2</v>
      </c>
      <c r="O13" s="282">
        <f t="shared" ca="1" si="3"/>
        <v>25</v>
      </c>
      <c r="P13" s="282">
        <f t="shared" ca="1" si="4"/>
        <v>0</v>
      </c>
      <c r="Q13" s="289">
        <f t="shared" ca="1" si="5"/>
        <v>-2</v>
      </c>
    </row>
    <row r="14" spans="3:35" ht="22.5" x14ac:dyDescent="0.25">
      <c r="C14" s="285">
        <f ca="1">IF(ROW()-2&gt;Start.listina!$O$7,"",INDIRECT(ADDRESS(3+(ROW()-3)*2,$D$2,1,1,"Centrum")))</f>
        <v>10</v>
      </c>
      <c r="D14" s="285">
        <f ca="1">IF(ROW()-2&gt;Start.listina!$O$7,"",INDIRECT(ADDRESS(4+(ROW()-3)*2,$D$2,1,1,"Centrum")))</f>
        <v>49</v>
      </c>
      <c r="E14" s="283" t="str">
        <f ca="1">IF(TYPE(VLOOKUP(C14,Centrum!$A$3:$C$130,3,0))&gt;3," - ",VLOOKUP(C14,Centrum!$A$3:$C$130,3,0))</f>
        <v>10 PC Kolová - Plucar Petr</v>
      </c>
      <c r="F14" s="283" t="str">
        <f ca="1">IF(TYPE(VLOOKUP(D14,Centrum!$A$3:$C$130,3,0))&gt;3," - ",VLOOKUP(D14,Centrum!$A$3:$C$130,3,0))</f>
        <v>49 SK Španielka Řepy - Řezník Alois</v>
      </c>
      <c r="G14" s="463">
        <f>IF(ROW()-2&gt;Start.listina!$O$7,"",ROW()-2)</f>
        <v>12</v>
      </c>
      <c r="H14" s="475">
        <v>13</v>
      </c>
      <c r="I14" s="476">
        <v>2</v>
      </c>
      <c r="K14" s="282">
        <f t="shared" ca="1" si="0"/>
        <v>49</v>
      </c>
      <c r="L14" s="282">
        <f t="shared" ca="1" si="1"/>
        <v>10</v>
      </c>
      <c r="M14" s="282">
        <f t="shared" ca="1" si="2"/>
        <v>1</v>
      </c>
      <c r="N14" s="282">
        <f t="shared" ca="1" si="6"/>
        <v>11</v>
      </c>
      <c r="O14" s="282">
        <f t="shared" ca="1" si="3"/>
        <v>49</v>
      </c>
      <c r="P14" s="282">
        <f t="shared" ca="1" si="4"/>
        <v>0</v>
      </c>
      <c r="Q14" s="289">
        <f t="shared" ca="1" si="5"/>
        <v>-11</v>
      </c>
    </row>
    <row r="15" spans="3:35" ht="22.5" x14ac:dyDescent="0.25">
      <c r="C15" s="285">
        <f ca="1">IF(ROW()-2&gt;Start.listina!$O$7,"",INDIRECT(ADDRESS(3+(ROW()-3)*2,$D$2,1,1,"Centrum")))</f>
        <v>4</v>
      </c>
      <c r="D15" s="285">
        <f ca="1">IF(ROW()-2&gt;Start.listina!$O$7,"",INDIRECT(ADDRESS(4+(ROW()-3)*2,$D$2,1,1,"Centrum")))</f>
        <v>1</v>
      </c>
      <c r="E15" s="283" t="str">
        <f ca="1">IF(TYPE(VLOOKUP(C15,Centrum!$A$3:$C$130,3,0))&gt;3," - ",VLOOKUP(C15,Centrum!$A$3:$C$130,3,0))</f>
        <v>4 1. KPK Vrchlabí - Brázda Vladimír</v>
      </c>
      <c r="F15" s="283" t="str">
        <f ca="1">IF(TYPE(VLOOKUP(D15,Centrum!$A$3:$C$130,3,0))&gt;3," - ",VLOOKUP(D15,Centrum!$A$3:$C$130,3,0))</f>
        <v>1 PC Sokol Lipník - Morávek Petr</v>
      </c>
      <c r="G15" s="463">
        <f>IF(ROW()-2&gt;Start.listina!$O$7,"",ROW()-2)</f>
        <v>13</v>
      </c>
      <c r="H15" s="475">
        <v>10</v>
      </c>
      <c r="I15" s="476">
        <v>13</v>
      </c>
      <c r="K15" s="282">
        <f t="shared" ca="1" si="0"/>
        <v>1</v>
      </c>
      <c r="L15" s="282">
        <f t="shared" ca="1" si="1"/>
        <v>4</v>
      </c>
      <c r="M15" s="282">
        <f t="shared" ca="1" si="2"/>
        <v>0</v>
      </c>
      <c r="N15" s="282">
        <f t="shared" ca="1" si="6"/>
        <v>-3</v>
      </c>
      <c r="O15" s="282">
        <f t="shared" ca="1" si="3"/>
        <v>1</v>
      </c>
      <c r="P15" s="282">
        <f t="shared" ca="1" si="4"/>
        <v>1</v>
      </c>
      <c r="Q15" s="289">
        <f t="shared" ca="1" si="5"/>
        <v>3</v>
      </c>
    </row>
    <row r="16" spans="3:35" ht="22.5" x14ac:dyDescent="0.25">
      <c r="C16" s="285">
        <f ca="1">IF(ROW()-2&gt;Start.listina!$O$7,"",INDIRECT(ADDRESS(3+(ROW()-3)*2,$D$2,1,1,"Centrum")))</f>
        <v>46</v>
      </c>
      <c r="D16" s="285">
        <f ca="1">IF(ROW()-2&gt;Start.listina!$O$7,"",INDIRECT(ADDRESS(4+(ROW()-3)*2,$D$2,1,1,"Centrum")))</f>
        <v>17</v>
      </c>
      <c r="E16" s="283" t="str">
        <f ca="1">IF(TYPE(VLOOKUP(C16,Centrum!$A$3:$C$130,3,0))&gt;3," - ",VLOOKUP(C16,Centrum!$A$3:$C$130,3,0))</f>
        <v>46 CdP Loděnice - Hytych Petr</v>
      </c>
      <c r="F16" s="283" t="str">
        <f ca="1">IF(TYPE(VLOOKUP(D16,Centrum!$A$3:$C$130,3,0))&gt;3," - ",VLOOKUP(D16,Centrum!$A$3:$C$130,3,0))</f>
        <v>17 Sokol Kostomlaty - Vyoral Hynek</v>
      </c>
      <c r="G16" s="463">
        <f>IF(ROW()-2&gt;Start.listina!$O$7,"",ROW()-2)</f>
        <v>14</v>
      </c>
      <c r="H16" s="475">
        <v>2</v>
      </c>
      <c r="I16" s="476">
        <v>13</v>
      </c>
      <c r="K16" s="282">
        <f t="shared" ca="1" si="0"/>
        <v>17</v>
      </c>
      <c r="L16" s="282">
        <f t="shared" ca="1" si="1"/>
        <v>46</v>
      </c>
      <c r="M16" s="282">
        <f t="shared" ca="1" si="2"/>
        <v>0</v>
      </c>
      <c r="N16" s="282">
        <f t="shared" ca="1" si="6"/>
        <v>-11</v>
      </c>
      <c r="O16" s="282">
        <f t="shared" ca="1" si="3"/>
        <v>17</v>
      </c>
      <c r="P16" s="282">
        <f t="shared" ca="1" si="4"/>
        <v>1</v>
      </c>
      <c r="Q16" s="289">
        <f t="shared" ca="1" si="5"/>
        <v>11</v>
      </c>
    </row>
    <row r="17" spans="3:17" ht="22.5" x14ac:dyDescent="0.25">
      <c r="C17" s="285">
        <f ca="1">IF(ROW()-2&gt;Start.listina!$O$7,"",INDIRECT(ADDRESS(3+(ROW()-3)*2,$D$2,1,1,"Centrum")))</f>
        <v>23</v>
      </c>
      <c r="D17" s="285">
        <f ca="1">IF(ROW()-2&gt;Start.listina!$O$7,"",INDIRECT(ADDRESS(4+(ROW()-3)*2,$D$2,1,1,"Centrum")))</f>
        <v>32</v>
      </c>
      <c r="E17" s="283" t="str">
        <f ca="1">IF(TYPE(VLOOKUP(C17,Centrum!$A$3:$C$130,3,0))&gt;3," - ",VLOOKUP(C17,Centrum!$A$3:$C$130,3,0))</f>
        <v>23 CdP Loděnice - Vedralová Kateřina</v>
      </c>
      <c r="F17" s="283" t="str">
        <f ca="1">IF(TYPE(VLOOKUP(D17,Centrum!$A$3:$C$130,3,0))&gt;3," - ",VLOOKUP(D17,Centrum!$A$3:$C$130,3,0))</f>
        <v>32 Petank Club Praha - Boubínová Vendula</v>
      </c>
      <c r="G17" s="463">
        <f>IF(ROW()-2&gt;Start.listina!$O$7,"",ROW()-2)</f>
        <v>15</v>
      </c>
      <c r="H17" s="475">
        <v>13</v>
      </c>
      <c r="I17" s="476">
        <v>4</v>
      </c>
      <c r="K17" s="282">
        <f t="shared" ca="1" si="0"/>
        <v>32</v>
      </c>
      <c r="L17" s="282">
        <f t="shared" ca="1" si="1"/>
        <v>23</v>
      </c>
      <c r="M17" s="282">
        <f t="shared" ca="1" si="2"/>
        <v>1</v>
      </c>
      <c r="N17" s="282">
        <f t="shared" ca="1" si="6"/>
        <v>9</v>
      </c>
      <c r="O17" s="282">
        <f t="shared" ca="1" si="3"/>
        <v>32</v>
      </c>
      <c r="P17" s="282">
        <f t="shared" ca="1" si="4"/>
        <v>0</v>
      </c>
      <c r="Q17" s="289">
        <f t="shared" ca="1" si="5"/>
        <v>-9</v>
      </c>
    </row>
    <row r="18" spans="3:17" ht="22.5" x14ac:dyDescent="0.25">
      <c r="C18" s="285">
        <f ca="1">IF(ROW()-2&gt;Start.listina!$O$7,"",INDIRECT(ADDRESS(3+(ROW()-3)*2,$D$2,1,1,"Centrum")))</f>
        <v>29</v>
      </c>
      <c r="D18" s="285">
        <f ca="1">IF(ROW()-2&gt;Start.listina!$O$7,"",INDIRECT(ADDRESS(4+(ROW()-3)*2,$D$2,1,1,"Centrum")))</f>
        <v>26</v>
      </c>
      <c r="E18" s="283" t="str">
        <f ca="1">IF(TYPE(VLOOKUP(C18,Centrum!$A$3:$C$130,3,0))&gt;3," - ",VLOOKUP(C18,Centrum!$A$3:$C$130,3,0))</f>
        <v>29 SKP Kulová osma - Pilát Petr</v>
      </c>
      <c r="F18" s="283" t="str">
        <f ca="1">IF(TYPE(VLOOKUP(D18,Centrum!$A$3:$C$130,3,0))&gt;3," - ",VLOOKUP(D18,Centrum!$A$3:$C$130,3,0))</f>
        <v>26 SKP Kulová osma - Lhoták Jaroslav</v>
      </c>
      <c r="G18" s="463">
        <f>IF(ROW()-2&gt;Start.listina!$O$7,"",ROW()-2)</f>
        <v>16</v>
      </c>
      <c r="H18" s="475">
        <v>8</v>
      </c>
      <c r="I18" s="476">
        <v>7</v>
      </c>
      <c r="K18" s="282">
        <f t="shared" ca="1" si="0"/>
        <v>26</v>
      </c>
      <c r="L18" s="282">
        <f t="shared" ca="1" si="1"/>
        <v>29</v>
      </c>
      <c r="M18" s="282">
        <f t="shared" ca="1" si="2"/>
        <v>1</v>
      </c>
      <c r="N18" s="282">
        <f t="shared" ca="1" si="6"/>
        <v>1</v>
      </c>
      <c r="O18" s="282">
        <f t="shared" ca="1" si="3"/>
        <v>26</v>
      </c>
      <c r="P18" s="282">
        <f t="shared" ca="1" si="4"/>
        <v>0</v>
      </c>
      <c r="Q18" s="289">
        <f t="shared" ca="1" si="5"/>
        <v>-1</v>
      </c>
    </row>
    <row r="19" spans="3:17" ht="22.5" x14ac:dyDescent="0.25">
      <c r="C19" s="285">
        <f ca="1">IF(ROW()-2&gt;Start.listina!$O$7,"",INDIRECT(ADDRESS(3+(ROW()-3)*2,$D$2,1,1,"Centrum")))</f>
        <v>27</v>
      </c>
      <c r="D19" s="285">
        <f ca="1">IF(ROW()-2&gt;Start.listina!$O$7,"",INDIRECT(ADDRESS(4+(ROW()-3)*2,$D$2,1,1,"Centrum")))</f>
        <v>51</v>
      </c>
      <c r="E19" s="283" t="str">
        <f ca="1">IF(TYPE(VLOOKUP(C19,Centrum!$A$3:$C$130,3,0))&gt;3," - ",VLOOKUP(C19,Centrum!$A$3:$C$130,3,0))</f>
        <v>27 Sokol Kostomlaty - Hercoková Milena</v>
      </c>
      <c r="F19" s="283" t="str">
        <f ca="1">IF(TYPE(VLOOKUP(D19,Centrum!$A$3:$C$130,3,0))&gt;3," - ",VLOOKUP(D19,Centrum!$A$3:$C$130,3,0))</f>
        <v>51 CdP Loděnice - Tyrol Pavel</v>
      </c>
      <c r="G19" s="463">
        <f>IF(ROW()-2&gt;Start.listina!$O$7,"",ROW()-2)</f>
        <v>17</v>
      </c>
      <c r="H19" s="475">
        <v>7</v>
      </c>
      <c r="I19" s="476">
        <v>13</v>
      </c>
      <c r="K19" s="282">
        <f t="shared" ca="1" si="0"/>
        <v>51</v>
      </c>
      <c r="L19" s="282">
        <f t="shared" ca="1" si="1"/>
        <v>27</v>
      </c>
      <c r="M19" s="282">
        <f t="shared" ca="1" si="2"/>
        <v>0</v>
      </c>
      <c r="N19" s="282">
        <f t="shared" ca="1" si="6"/>
        <v>-6</v>
      </c>
      <c r="O19" s="282">
        <f t="shared" ca="1" si="3"/>
        <v>51</v>
      </c>
      <c r="P19" s="282">
        <f t="shared" ca="1" si="4"/>
        <v>1</v>
      </c>
      <c r="Q19" s="289">
        <f t="shared" ca="1" si="5"/>
        <v>6</v>
      </c>
    </row>
    <row r="20" spans="3:17" ht="22.5" x14ac:dyDescent="0.25">
      <c r="C20" s="285">
        <f ca="1">IF(ROW()-2&gt;Start.listina!$O$7,"",INDIRECT(ADDRESS(3+(ROW()-3)*2,$D$2,1,1,"Centrum")))</f>
        <v>5</v>
      </c>
      <c r="D20" s="285">
        <f ca="1">IF(ROW()-2&gt;Start.listina!$O$7,"",INDIRECT(ADDRESS(4+(ROW()-3)*2,$D$2,1,1,"Centrum")))</f>
        <v>28</v>
      </c>
      <c r="E20" s="283" t="str">
        <f ca="1">IF(TYPE(VLOOKUP(C20,Centrum!$A$3:$C$130,3,0))&gt;3," - ",VLOOKUP(C20,Centrum!$A$3:$C$130,3,0))</f>
        <v>5 PK Osika Plzeň - Valenz Jan</v>
      </c>
      <c r="F20" s="283" t="str">
        <f ca="1">IF(TYPE(VLOOKUP(D20,Centrum!$A$3:$C$130,3,0))&gt;3," - ",VLOOKUP(D20,Centrum!$A$3:$C$130,3,0))</f>
        <v>28 C.T.P. Club Ořech - Leiský Leander</v>
      </c>
      <c r="G20" s="463">
        <f>IF(ROW()-2&gt;Start.listina!$O$7,"",ROW()-2)</f>
        <v>18</v>
      </c>
      <c r="H20" s="475">
        <v>13</v>
      </c>
      <c r="I20" s="476">
        <v>4</v>
      </c>
      <c r="K20" s="282">
        <f t="shared" ca="1" si="0"/>
        <v>28</v>
      </c>
      <c r="L20" s="282">
        <f t="shared" ca="1" si="1"/>
        <v>5</v>
      </c>
      <c r="M20" s="282">
        <f t="shared" ca="1" si="2"/>
        <v>1</v>
      </c>
      <c r="N20" s="282">
        <f t="shared" ca="1" si="6"/>
        <v>9</v>
      </c>
      <c r="O20" s="282">
        <f t="shared" ca="1" si="3"/>
        <v>28</v>
      </c>
      <c r="P20" s="282">
        <f t="shared" ca="1" si="4"/>
        <v>0</v>
      </c>
      <c r="Q20" s="289">
        <f t="shared" ca="1" si="5"/>
        <v>-9</v>
      </c>
    </row>
    <row r="21" spans="3:17" ht="22.5" x14ac:dyDescent="0.25">
      <c r="C21" s="285">
        <f ca="1">IF(ROW()-2&gt;Start.listina!$O$7,"",INDIRECT(ADDRESS(3+(ROW()-3)*2,$D$2,1,1,"Centrum")))</f>
        <v>15</v>
      </c>
      <c r="D21" s="285">
        <f ca="1">IF(ROW()-2&gt;Start.listina!$O$7,"",INDIRECT(ADDRESS(4+(ROW()-3)*2,$D$2,1,1,"Centrum")))</f>
        <v>48</v>
      </c>
      <c r="E21" s="283" t="str">
        <f ca="1">IF(TYPE(VLOOKUP(C21,Centrum!$A$3:$C$130,3,0))&gt;3," - ",VLOOKUP(C21,Centrum!$A$3:$C$130,3,0))</f>
        <v>15 SKP Kulová osma - Zátka Miloslav</v>
      </c>
      <c r="F21" s="283" t="str">
        <f ca="1">IF(TYPE(VLOOKUP(D21,Centrum!$A$3:$C$130,3,0))&gt;3," - ",VLOOKUP(D21,Centrum!$A$3:$C$130,3,0))</f>
        <v>48 SK Španielka Řepy - Pastorek Jaroslav</v>
      </c>
      <c r="G21" s="463">
        <f>IF(ROW()-2&gt;Start.listina!$O$7,"",ROW()-2)</f>
        <v>19</v>
      </c>
      <c r="H21" s="475">
        <v>12</v>
      </c>
      <c r="I21" s="476">
        <v>11</v>
      </c>
      <c r="K21" s="282">
        <f t="shared" ca="1" si="0"/>
        <v>48</v>
      </c>
      <c r="L21" s="282">
        <f t="shared" ca="1" si="1"/>
        <v>15</v>
      </c>
      <c r="M21" s="282">
        <f t="shared" ca="1" si="2"/>
        <v>1</v>
      </c>
      <c r="N21" s="282">
        <f t="shared" ca="1" si="6"/>
        <v>1</v>
      </c>
      <c r="O21" s="282">
        <f t="shared" ca="1" si="3"/>
        <v>48</v>
      </c>
      <c r="P21" s="282">
        <f t="shared" ca="1" si="4"/>
        <v>0</v>
      </c>
      <c r="Q21" s="289">
        <f t="shared" ca="1" si="5"/>
        <v>-1</v>
      </c>
    </row>
    <row r="22" spans="3:17" ht="22.5" x14ac:dyDescent="0.25">
      <c r="C22" s="285">
        <f ca="1">IF(ROW()-2&gt;Start.listina!$O$7,"",INDIRECT(ADDRESS(3+(ROW()-3)*2,$D$2,1,1,"Centrum")))</f>
        <v>41</v>
      </c>
      <c r="D22" s="285">
        <f ca="1">IF(ROW()-2&gt;Start.listina!$O$7,"",INDIRECT(ADDRESS(4+(ROW()-3)*2,$D$2,1,1,"Centrum")))</f>
        <v>40</v>
      </c>
      <c r="E22" s="283" t="str">
        <f ca="1">IF(TYPE(VLOOKUP(C22,Centrum!$A$3:$C$130,3,0))&gt;3," - ",VLOOKUP(C22,Centrum!$A$3:$C$130,3,0))</f>
        <v>41 CdP Loděnice - Janoš Jiří</v>
      </c>
      <c r="F22" s="283" t="str">
        <f ca="1">IF(TYPE(VLOOKUP(D22,Centrum!$A$3:$C$130,3,0))&gt;3," - ",VLOOKUP(D22,Centrum!$A$3:$C$130,3,0))</f>
        <v>40 SKP Kulová osma - Fárová Helena</v>
      </c>
      <c r="G22" s="463">
        <f>IF(ROW()-2&gt;Start.listina!$O$7,"",ROW()-2)</f>
        <v>20</v>
      </c>
      <c r="H22" s="475">
        <v>13</v>
      </c>
      <c r="I22" s="476">
        <v>3</v>
      </c>
      <c r="K22" s="282">
        <f t="shared" ca="1" si="0"/>
        <v>40</v>
      </c>
      <c r="L22" s="282">
        <f t="shared" ca="1" si="1"/>
        <v>41</v>
      </c>
      <c r="M22" s="282">
        <f t="shared" ca="1" si="2"/>
        <v>1</v>
      </c>
      <c r="N22" s="282">
        <f t="shared" ca="1" si="6"/>
        <v>10</v>
      </c>
      <c r="O22" s="282">
        <f t="shared" ca="1" si="3"/>
        <v>40</v>
      </c>
      <c r="P22" s="282">
        <f t="shared" ca="1" si="4"/>
        <v>0</v>
      </c>
      <c r="Q22" s="289">
        <f t="shared" ca="1" si="5"/>
        <v>-10</v>
      </c>
    </row>
    <row r="23" spans="3:17" ht="22.5" x14ac:dyDescent="0.25">
      <c r="C23" s="285">
        <f ca="1">IF(ROW()-2&gt;Start.listina!$O$7,"",INDIRECT(ADDRESS(3+(ROW()-3)*2,$D$2,1,1,"Centrum")))</f>
        <v>47</v>
      </c>
      <c r="D23" s="285">
        <f ca="1">IF(ROW()-2&gt;Start.listina!$O$7,"",INDIRECT(ADDRESS(4+(ROW()-3)*2,$D$2,1,1,"Centrum")))</f>
        <v>8</v>
      </c>
      <c r="E23" s="283" t="str">
        <f ca="1">IF(TYPE(VLOOKUP(C23,Centrum!$A$3:$C$130,3,0))&gt;3," - ",VLOOKUP(C23,Centrum!$A$3:$C$130,3,0))</f>
        <v>47 Club Rodamiento - Soukupová Irena</v>
      </c>
      <c r="F23" s="283" t="str">
        <f ca="1">IF(TYPE(VLOOKUP(D23,Centrum!$A$3:$C$130,3,0))&gt;3," - ",VLOOKUP(D23,Centrum!$A$3:$C$130,3,0))</f>
        <v>8 CdP Loděnice - Mrázek Petr</v>
      </c>
      <c r="G23" s="463">
        <f>IF(ROW()-2&gt;Start.listina!$O$7,"",ROW()-2)</f>
        <v>21</v>
      </c>
      <c r="H23" s="475">
        <v>6</v>
      </c>
      <c r="I23" s="476">
        <v>13</v>
      </c>
      <c r="K23" s="282">
        <f t="shared" ca="1" si="0"/>
        <v>8</v>
      </c>
      <c r="L23" s="282">
        <f t="shared" ca="1" si="1"/>
        <v>47</v>
      </c>
      <c r="M23" s="282">
        <f t="shared" ca="1" si="2"/>
        <v>0</v>
      </c>
      <c r="N23" s="282">
        <f t="shared" ca="1" si="6"/>
        <v>-7</v>
      </c>
      <c r="O23" s="282">
        <f t="shared" ca="1" si="3"/>
        <v>8</v>
      </c>
      <c r="P23" s="282">
        <f t="shared" ca="1" si="4"/>
        <v>1</v>
      </c>
      <c r="Q23" s="289">
        <f t="shared" ca="1" si="5"/>
        <v>7</v>
      </c>
    </row>
    <row r="24" spans="3:17" ht="22.5" x14ac:dyDescent="0.25">
      <c r="C24" s="285">
        <f ca="1">IF(ROW()-2&gt;Start.listina!$O$7,"",INDIRECT(ADDRESS(3+(ROW()-3)*2,$D$2,1,1,"Centrum")))</f>
        <v>34</v>
      </c>
      <c r="D24" s="285">
        <f ca="1">IF(ROW()-2&gt;Start.listina!$O$7,"",INDIRECT(ADDRESS(4+(ROW()-3)*2,$D$2,1,1,"Centrum")))</f>
        <v>38</v>
      </c>
      <c r="E24" s="283" t="str">
        <f ca="1">IF(TYPE(VLOOKUP(C24,Centrum!$A$3:$C$130,3,0))&gt;3," - ",VLOOKUP(C24,Centrum!$A$3:$C$130,3,0))</f>
        <v>34 UBU Únětice - Bayer Milan</v>
      </c>
      <c r="F24" s="283" t="str">
        <f ca="1">IF(TYPE(VLOOKUP(D24,Centrum!$A$3:$C$130,3,0))&gt;3," - ",VLOOKUP(D24,Centrum!$A$3:$C$130,3,0))</f>
        <v>38 JAPKO - Stejskal Petr</v>
      </c>
      <c r="G24" s="463">
        <f>IF(ROW()-2&gt;Start.listina!$O$7,"",ROW()-2)</f>
        <v>22</v>
      </c>
      <c r="H24" s="475">
        <v>12</v>
      </c>
      <c r="I24" s="476">
        <v>5</v>
      </c>
      <c r="K24" s="282">
        <f t="shared" ca="1" si="0"/>
        <v>38</v>
      </c>
      <c r="L24" s="282">
        <f t="shared" ca="1" si="1"/>
        <v>34</v>
      </c>
      <c r="M24" s="282">
        <f t="shared" ca="1" si="2"/>
        <v>1</v>
      </c>
      <c r="N24" s="282">
        <f t="shared" ca="1" si="6"/>
        <v>7</v>
      </c>
      <c r="O24" s="282">
        <f t="shared" ca="1" si="3"/>
        <v>38</v>
      </c>
      <c r="P24" s="282">
        <f t="shared" ca="1" si="4"/>
        <v>0</v>
      </c>
      <c r="Q24" s="289">
        <f t="shared" ca="1" si="5"/>
        <v>-7</v>
      </c>
    </row>
    <row r="25" spans="3:17" ht="22.5" x14ac:dyDescent="0.25">
      <c r="C25" s="285">
        <f ca="1">IF(ROW()-2&gt;Start.listina!$O$7,"",INDIRECT(ADDRESS(3+(ROW()-3)*2,$D$2,1,1,"Centrum")))</f>
        <v>18</v>
      </c>
      <c r="D25" s="285">
        <f ca="1">IF(ROW()-2&gt;Start.listina!$O$7,"",INDIRECT(ADDRESS(4+(ROW()-3)*2,$D$2,1,1,"Centrum")))</f>
        <v>30</v>
      </c>
      <c r="E25" s="283" t="str">
        <f ca="1">IF(TYPE(VLOOKUP(C25,Centrum!$A$3:$C$130,3,0))&gt;3," - ",VLOOKUP(C25,Centrum!$A$3:$C$130,3,0))</f>
        <v>18 Club Rodamiento - Chmelař Ivo</v>
      </c>
      <c r="F25" s="283" t="str">
        <f ca="1">IF(TYPE(VLOOKUP(D25,Centrum!$A$3:$C$130,3,0))&gt;3," - ",VLOOKUP(D25,Centrum!$A$3:$C$130,3,0))</f>
        <v>30 SKP Kulová osma - Slapnička Václav</v>
      </c>
      <c r="G25" s="463">
        <f>IF(ROW()-2&gt;Start.listina!$O$7,"",ROW()-2)</f>
        <v>23</v>
      </c>
      <c r="H25" s="475">
        <v>12</v>
      </c>
      <c r="I25" s="476">
        <v>11</v>
      </c>
      <c r="K25" s="282">
        <f t="shared" ca="1" si="0"/>
        <v>30</v>
      </c>
      <c r="L25" s="282">
        <f t="shared" ca="1" si="1"/>
        <v>18</v>
      </c>
      <c r="M25" s="282">
        <f t="shared" ca="1" si="2"/>
        <v>1</v>
      </c>
      <c r="N25" s="282">
        <f t="shared" ca="1" si="6"/>
        <v>1</v>
      </c>
      <c r="O25" s="282">
        <f t="shared" ca="1" si="3"/>
        <v>30</v>
      </c>
      <c r="P25" s="282">
        <f t="shared" ca="1" si="4"/>
        <v>0</v>
      </c>
      <c r="Q25" s="289">
        <f t="shared" ca="1" si="5"/>
        <v>-1</v>
      </c>
    </row>
    <row r="26" spans="3:17" ht="22.5" x14ac:dyDescent="0.25">
      <c r="C26" s="285">
        <f ca="1">IF(ROW()-2&gt;Start.listina!$O$7,"",INDIRECT(ADDRESS(3+(ROW()-3)*2,$D$2,1,1,"Centrum")))</f>
        <v>37</v>
      </c>
      <c r="D26" s="285">
        <f ca="1">IF(ROW()-2&gt;Start.listina!$O$7,"",INDIRECT(ADDRESS(4+(ROW()-3)*2,$D$2,1,1,"Centrum")))</f>
        <v>42</v>
      </c>
      <c r="E26" s="283" t="str">
        <f ca="1">IF(TYPE(VLOOKUP(C26,Centrum!$A$3:$C$130,3,0))&gt;3," - ",VLOOKUP(C26,Centrum!$A$3:$C$130,3,0))</f>
        <v>37 Club Rodamiento - Moos Daniel</v>
      </c>
      <c r="F26" s="283" t="str">
        <f ca="1">IF(TYPE(VLOOKUP(D26,Centrum!$A$3:$C$130,3,0))&gt;3," - ",VLOOKUP(D26,Centrum!$A$3:$C$130,3,0))</f>
        <v>42 SK Španielka Řepy - Procházka Josef</v>
      </c>
      <c r="G26" s="463">
        <f>IF(ROW()-2&gt;Start.listina!$O$7,"",ROW()-2)</f>
        <v>24</v>
      </c>
      <c r="H26" s="475">
        <v>13</v>
      </c>
      <c r="I26" s="476">
        <v>1</v>
      </c>
      <c r="K26" s="282">
        <f t="shared" ca="1" si="0"/>
        <v>42</v>
      </c>
      <c r="L26" s="282">
        <f t="shared" ca="1" si="1"/>
        <v>37</v>
      </c>
      <c r="M26" s="282">
        <f t="shared" ca="1" si="2"/>
        <v>1</v>
      </c>
      <c r="N26" s="282">
        <f t="shared" ca="1" si="6"/>
        <v>12</v>
      </c>
      <c r="O26" s="282">
        <f t="shared" ca="1" si="3"/>
        <v>42</v>
      </c>
      <c r="P26" s="282">
        <f t="shared" ca="1" si="4"/>
        <v>0</v>
      </c>
      <c r="Q26" s="289">
        <f t="shared" ca="1" si="5"/>
        <v>-12</v>
      </c>
    </row>
    <row r="27" spans="3:17" ht="22.5" x14ac:dyDescent="0.25">
      <c r="C27" s="285">
        <f ca="1">IF(ROW()-2&gt;Start.listina!$O$7,"",INDIRECT(ADDRESS(3+(ROW()-3)*2,$D$2,1,1,"Centrum")))</f>
        <v>36</v>
      </c>
      <c r="D27" s="285">
        <f ca="1">IF(ROW()-2&gt;Start.listina!$O$7,"",INDIRECT(ADDRESS(4+(ROW()-3)*2,$D$2,1,1,"Centrum")))</f>
        <v>39</v>
      </c>
      <c r="E27" s="283" t="str">
        <f ca="1">IF(TYPE(VLOOKUP(C27,Centrum!$A$3:$C$130,3,0))&gt;3," - ",VLOOKUP(C27,Centrum!$A$3:$C$130,3,0))</f>
        <v>36 UBU Únětice - Pflimpflová Alexandra</v>
      </c>
      <c r="F27" s="283" t="str">
        <f ca="1">IF(TYPE(VLOOKUP(D27,Centrum!$A$3:$C$130,3,0))&gt;3," - ",VLOOKUP(D27,Centrum!$A$3:$C$130,3,0))</f>
        <v>39 C.T.P. Club Ořech - Glaser Vladimír</v>
      </c>
      <c r="G27" s="463">
        <f>IF(ROW()-2&gt;Start.listina!$O$7,"",ROW()-2)</f>
        <v>25</v>
      </c>
      <c r="H27" s="475">
        <v>4</v>
      </c>
      <c r="I27" s="476">
        <v>13</v>
      </c>
      <c r="K27" s="282">
        <f t="shared" ca="1" si="0"/>
        <v>39</v>
      </c>
      <c r="L27" s="282">
        <f t="shared" ca="1" si="1"/>
        <v>36</v>
      </c>
      <c r="M27" s="282">
        <f t="shared" ca="1" si="2"/>
        <v>0</v>
      </c>
      <c r="N27" s="282">
        <f t="shared" ca="1" si="6"/>
        <v>-9</v>
      </c>
      <c r="O27" s="282">
        <f t="shared" ca="1" si="3"/>
        <v>39</v>
      </c>
      <c r="P27" s="282">
        <f t="shared" ca="1" si="4"/>
        <v>1</v>
      </c>
      <c r="Q27" s="289">
        <f t="shared" ca="1" si="5"/>
        <v>9</v>
      </c>
    </row>
    <row r="28" spans="3:17" ht="22.5" x14ac:dyDescent="0.25">
      <c r="C28" s="285">
        <f ca="1">IF(ROW()-2&gt;Start.listina!$O$7,"",INDIRECT(ADDRESS(3+(ROW()-3)*2,$D$2,1,1,"Centrum")))</f>
        <v>33</v>
      </c>
      <c r="D28" s="285" t="str">
        <f ca="1">IF(ROW()-2&gt;Start.listina!$O$7,"",INDIRECT(ADDRESS(4+(ROW()-3)*2,$D$2,1,1,"Centrum")))</f>
        <v/>
      </c>
      <c r="E28" s="283" t="str">
        <f ca="1">IF(TYPE(VLOOKUP(C28,Centrum!$A$3:$C$130,3,0))&gt;3," - ",VLOOKUP(C28,Centrum!$A$3:$C$130,3,0))</f>
        <v>33 CdP Loděnice - Fatka Stanislav ml.</v>
      </c>
      <c r="F28" s="283" t="str">
        <f ca="1">IF(TYPE(VLOOKUP(D28,Centrum!$A$3:$C$130,3,0))&gt;3," - ",VLOOKUP(D28,Centrum!$A$3:$C$130,3,0))</f>
        <v xml:space="preserve"> - </v>
      </c>
      <c r="G28" s="463">
        <f>IF(ROW()-2&gt;Start.listina!$O$7,"",ROW()-2)</f>
        <v>26</v>
      </c>
      <c r="H28" s="475">
        <v>13</v>
      </c>
      <c r="I28" s="476">
        <v>7</v>
      </c>
      <c r="K28" s="282" t="str">
        <f t="shared" ca="1" si="0"/>
        <v/>
      </c>
      <c r="L28" s="282">
        <f t="shared" ca="1" si="1"/>
        <v>33</v>
      </c>
      <c r="M28" s="282">
        <f t="shared" ca="1" si="2"/>
        <v>1</v>
      </c>
      <c r="N28" s="282">
        <f t="shared" ca="1" si="6"/>
        <v>6</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475"/>
      <c r="I29" s="476"/>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475"/>
      <c r="I30" s="476"/>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475"/>
      <c r="I31" s="476"/>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475"/>
      <c r="I32" s="476"/>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475"/>
      <c r="I33" s="476"/>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6R9dC4i6sThBk5yt2tOYGr13ocyCXscAPHv7RndE6paN77lZDO/Fs4Jasgp1bBt8PzydaxBN3bRW3SBkHs+wYw==" saltValue="NOTOzzACV7bL5FIW4NbY/w=="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887</v>
      </c>
      <c r="F1" s="284" t="str">
        <f>Start.listina!$K$4</f>
        <v>Memoriál CdP Loděnice</v>
      </c>
      <c r="G1" s="1"/>
      <c r="H1" s="489" t="str">
        <f>Start.listina!$K$3</f>
        <v>16.07.2016</v>
      </c>
      <c r="I1" s="490"/>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854</v>
      </c>
      <c r="F2" s="8" t="s">
        <v>855</v>
      </c>
      <c r="G2" s="280" t="s">
        <v>1017</v>
      </c>
      <c r="H2" s="487" t="s">
        <v>853</v>
      </c>
      <c r="I2" s="488"/>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63">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63">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63">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63">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63">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63">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63">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63">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63">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63">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63">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63">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63">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63">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63">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63">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63">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63">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63">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63">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63">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63">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63">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63">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63">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63">
        <f>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886</v>
      </c>
      <c r="F1" s="284" t="str">
        <f>Start.listina!$K$4</f>
        <v>Memoriál CdP Loděnice</v>
      </c>
      <c r="G1" s="1"/>
      <c r="H1" s="489" t="str">
        <f>Start.listina!$K$3</f>
        <v>16.07.2016</v>
      </c>
      <c r="I1" s="490"/>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854</v>
      </c>
      <c r="F2" s="8" t="s">
        <v>855</v>
      </c>
      <c r="G2" s="280" t="s">
        <v>1017</v>
      </c>
      <c r="H2" s="487" t="s">
        <v>853</v>
      </c>
      <c r="I2" s="488"/>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63">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63">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63">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63">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63">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63">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63">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63">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63">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63">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63">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63">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63">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63">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63">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63">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63">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63">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63">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63">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63">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63">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63">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63">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63">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63">
        <f>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3"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3"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3"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3"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3"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3"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3"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3"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3"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3"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3"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3"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3"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3"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3"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3"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3"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3"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3"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3"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3"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3"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3"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3"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3"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3"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3"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3"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3"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3"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3"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3"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3"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3"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3"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3"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3"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3"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938</v>
      </c>
      <c r="E8" s="304">
        <f>Start.listina!U6</f>
        <v>1</v>
      </c>
    </row>
    <row r="9" spans="1:32" x14ac:dyDescent="0.25">
      <c r="C9" s="493" t="s">
        <v>939</v>
      </c>
      <c r="D9" s="493"/>
      <c r="E9" s="494"/>
    </row>
    <row r="10" spans="1:32" x14ac:dyDescent="0.25">
      <c r="A10" s="1" t="s">
        <v>940</v>
      </c>
      <c r="B10" s="1" t="s">
        <v>941</v>
      </c>
    </row>
    <row r="11" spans="1:32" x14ac:dyDescent="0.25">
      <c r="A11" s="1" t="s">
        <v>942</v>
      </c>
      <c r="B11" s="1">
        <v>1</v>
      </c>
      <c r="C11" s="305">
        <f t="shared" ref="C11:C18" ca="1" si="0">999999*RAND()</f>
        <v>5019.3786634394928</v>
      </c>
      <c r="D11" s="1">
        <v>4</v>
      </c>
      <c r="E11" s="306">
        <f t="shared" ref="E11:E18" si="1">IF(D11+$E$8-1=0,"",D11+$E$8-1)</f>
        <v>4</v>
      </c>
    </row>
    <row r="12" spans="1:32" x14ac:dyDescent="0.25">
      <c r="A12" s="1" t="s">
        <v>943</v>
      </c>
      <c r="B12" s="1">
        <v>2</v>
      </c>
      <c r="C12" s="305">
        <f t="shared" ca="1" si="0"/>
        <v>395006.83906880248</v>
      </c>
      <c r="D12" s="1">
        <v>5</v>
      </c>
      <c r="E12" s="306">
        <f t="shared" si="1"/>
        <v>5</v>
      </c>
    </row>
    <row r="13" spans="1:32" x14ac:dyDescent="0.25">
      <c r="A13" s="1" t="s">
        <v>944</v>
      </c>
      <c r="B13" s="1">
        <v>3</v>
      </c>
      <c r="C13" s="305">
        <f t="shared" ca="1" si="0"/>
        <v>488452.2767180333</v>
      </c>
      <c r="D13" s="1">
        <v>2</v>
      </c>
      <c r="E13" s="306">
        <f t="shared" si="1"/>
        <v>2</v>
      </c>
    </row>
    <row r="14" spans="1:32" x14ac:dyDescent="0.25">
      <c r="A14" s="1" t="s">
        <v>1046</v>
      </c>
      <c r="B14" s="1">
        <v>4</v>
      </c>
      <c r="C14" s="305">
        <f t="shared" ca="1" si="0"/>
        <v>624459.5786384024</v>
      </c>
      <c r="D14" s="1">
        <v>6</v>
      </c>
      <c r="E14" s="306">
        <f t="shared" si="1"/>
        <v>6</v>
      </c>
    </row>
    <row r="15" spans="1:32" x14ac:dyDescent="0.25">
      <c r="A15" s="1" t="s">
        <v>945</v>
      </c>
      <c r="B15" s="1">
        <v>5</v>
      </c>
      <c r="C15" s="305">
        <f t="shared" ca="1" si="0"/>
        <v>951112.96523452143</v>
      </c>
      <c r="D15" s="1">
        <v>3</v>
      </c>
      <c r="E15" s="306">
        <f t="shared" si="1"/>
        <v>3</v>
      </c>
    </row>
    <row r="16" spans="1:32" x14ac:dyDescent="0.25">
      <c r="A16" s="1" t="s">
        <v>1047</v>
      </c>
      <c r="B16" s="1">
        <v>6</v>
      </c>
      <c r="C16" s="305">
        <f t="shared" ca="1" si="0"/>
        <v>255485.26399467944</v>
      </c>
      <c r="D16" s="1">
        <v>1</v>
      </c>
      <c r="E16" s="306">
        <f t="shared" si="1"/>
        <v>1</v>
      </c>
    </row>
    <row r="17" spans="1:5" x14ac:dyDescent="0.25">
      <c r="A17" s="1" t="s">
        <v>946</v>
      </c>
      <c r="B17" s="1">
        <v>7</v>
      </c>
      <c r="C17" s="305">
        <f t="shared" ca="1" si="0"/>
        <v>856883.25110910262</v>
      </c>
      <c r="D17" s="1">
        <v>7</v>
      </c>
      <c r="E17" s="306">
        <f t="shared" si="1"/>
        <v>7</v>
      </c>
    </row>
    <row r="18" spans="1:5" x14ac:dyDescent="0.25">
      <c r="A18" s="1" t="s">
        <v>947</v>
      </c>
      <c r="B18" s="1">
        <v>8</v>
      </c>
      <c r="C18" s="305">
        <f t="shared" ca="1" si="0"/>
        <v>161505.43879627137</v>
      </c>
      <c r="D18" s="1">
        <v>8</v>
      </c>
      <c r="E18" s="306">
        <f t="shared" si="1"/>
        <v>8</v>
      </c>
    </row>
    <row r="19" spans="1:5" x14ac:dyDescent="0.25">
      <c r="A19" s="1" t="s">
        <v>948</v>
      </c>
      <c r="B19" s="1">
        <v>9</v>
      </c>
      <c r="C19" s="305">
        <f t="shared" ref="C19:C42" ca="1" si="2">999999*RAND()</f>
        <v>66169.816756323475</v>
      </c>
      <c r="D19" s="1"/>
      <c r="E19" s="306" t="str">
        <f t="shared" ref="E19:E42" si="3">IF(D19+$E$8-1=0,"",D19+$E$8-1)</f>
        <v/>
      </c>
    </row>
    <row r="20" spans="1:5" x14ac:dyDescent="0.25">
      <c r="A20" s="1" t="s">
        <v>1048</v>
      </c>
      <c r="B20" s="1">
        <v>10</v>
      </c>
      <c r="C20" s="305">
        <f t="shared" ca="1" si="2"/>
        <v>395430.44479644304</v>
      </c>
      <c r="D20" s="1"/>
      <c r="E20" s="306" t="str">
        <f t="shared" si="3"/>
        <v/>
      </c>
    </row>
    <row r="21" spans="1:5" x14ac:dyDescent="0.25">
      <c r="A21" s="1" t="s">
        <v>949</v>
      </c>
      <c r="B21" s="1">
        <v>11</v>
      </c>
      <c r="C21" s="305">
        <f t="shared" ca="1" si="2"/>
        <v>95902.889292610955</v>
      </c>
      <c r="D21" s="1"/>
      <c r="E21" s="306" t="str">
        <f t="shared" si="3"/>
        <v/>
      </c>
    </row>
    <row r="22" spans="1:5" x14ac:dyDescent="0.25">
      <c r="A22" s="1" t="s">
        <v>950</v>
      </c>
      <c r="B22" s="1">
        <v>12</v>
      </c>
      <c r="C22" s="305">
        <f t="shared" ca="1" si="2"/>
        <v>496004.84930304327</v>
      </c>
      <c r="D22" s="1"/>
      <c r="E22" s="306" t="str">
        <f t="shared" si="3"/>
        <v/>
      </c>
    </row>
    <row r="23" spans="1:5" x14ac:dyDescent="0.25">
      <c r="A23" s="1" t="s">
        <v>1049</v>
      </c>
      <c r="B23" s="1">
        <v>13</v>
      </c>
      <c r="C23" s="305">
        <f t="shared" ca="1" si="2"/>
        <v>104113.73535494247</v>
      </c>
      <c r="D23" s="1"/>
      <c r="E23" s="306" t="str">
        <f t="shared" si="3"/>
        <v/>
      </c>
    </row>
    <row r="24" spans="1:5" x14ac:dyDescent="0.25">
      <c r="A24" s="1" t="s">
        <v>951</v>
      </c>
      <c r="B24" s="1">
        <v>14</v>
      </c>
      <c r="C24" s="305">
        <f t="shared" ca="1" si="2"/>
        <v>317381.99693097291</v>
      </c>
      <c r="D24" s="1"/>
      <c r="E24" s="306" t="str">
        <f t="shared" si="3"/>
        <v/>
      </c>
    </row>
    <row r="25" spans="1:5" x14ac:dyDescent="0.25">
      <c r="A25" s="1" t="s">
        <v>952</v>
      </c>
      <c r="B25" s="1">
        <v>15</v>
      </c>
      <c r="C25" s="305">
        <f t="shared" ca="1" si="2"/>
        <v>550094.38463127019</v>
      </c>
      <c r="D25" s="1"/>
      <c r="E25" s="306" t="str">
        <f t="shared" si="3"/>
        <v/>
      </c>
    </row>
    <row r="26" spans="1:5" x14ac:dyDescent="0.25">
      <c r="A26" s="1" t="s">
        <v>1050</v>
      </c>
      <c r="B26" s="1">
        <v>16</v>
      </c>
      <c r="C26" s="305">
        <f t="shared" ca="1" si="2"/>
        <v>910915.312348773</v>
      </c>
      <c r="D26" s="1"/>
      <c r="E26" s="306" t="str">
        <f t="shared" si="3"/>
        <v/>
      </c>
    </row>
    <row r="27" spans="1:5" x14ac:dyDescent="0.25">
      <c r="A27" s="1" t="s">
        <v>953</v>
      </c>
      <c r="B27" s="1">
        <v>17</v>
      </c>
      <c r="C27" s="305">
        <f t="shared" ca="1" si="2"/>
        <v>234691.56106012169</v>
      </c>
      <c r="D27" s="1"/>
      <c r="E27" s="306" t="str">
        <f t="shared" si="3"/>
        <v/>
      </c>
    </row>
    <row r="28" spans="1:5" x14ac:dyDescent="0.25">
      <c r="A28" s="1" t="s">
        <v>922</v>
      </c>
      <c r="B28" s="1">
        <v>18</v>
      </c>
      <c r="C28" s="305">
        <f t="shared" ca="1" si="2"/>
        <v>696746.4807376113</v>
      </c>
      <c r="D28" s="1"/>
      <c r="E28" s="306" t="str">
        <f t="shared" si="3"/>
        <v/>
      </c>
    </row>
    <row r="29" spans="1:5" x14ac:dyDescent="0.25">
      <c r="A29" s="1" t="s">
        <v>1051</v>
      </c>
      <c r="B29" s="1">
        <v>19</v>
      </c>
      <c r="C29" s="305">
        <f t="shared" ca="1" si="2"/>
        <v>894308.39133991313</v>
      </c>
      <c r="D29" s="1"/>
      <c r="E29" s="306" t="str">
        <f t="shared" si="3"/>
        <v/>
      </c>
    </row>
    <row r="30" spans="1:5" x14ac:dyDescent="0.25">
      <c r="A30" s="1" t="s">
        <v>954</v>
      </c>
      <c r="B30" s="1">
        <v>20</v>
      </c>
      <c r="C30" s="305">
        <f t="shared" ca="1" si="2"/>
        <v>528905.67290267861</v>
      </c>
      <c r="D30" s="1"/>
      <c r="E30" s="306" t="str">
        <f t="shared" si="3"/>
        <v/>
      </c>
    </row>
    <row r="31" spans="1:5" x14ac:dyDescent="0.25">
      <c r="A31" s="1" t="s">
        <v>955</v>
      </c>
      <c r="B31" s="1">
        <v>21</v>
      </c>
      <c r="C31" s="305">
        <f t="shared" ca="1" si="2"/>
        <v>818542.75154726394</v>
      </c>
      <c r="D31" s="1"/>
      <c r="E31" s="306" t="str">
        <f t="shared" si="3"/>
        <v/>
      </c>
    </row>
    <row r="32" spans="1:5" x14ac:dyDescent="0.25">
      <c r="A32" s="1" t="s">
        <v>1052</v>
      </c>
      <c r="B32" s="1">
        <v>22</v>
      </c>
      <c r="C32" s="305">
        <f t="shared" ca="1" si="2"/>
        <v>365222.42941230681</v>
      </c>
      <c r="D32" s="1"/>
      <c r="E32" s="306" t="str">
        <f t="shared" si="3"/>
        <v/>
      </c>
    </row>
    <row r="33" spans="1:5" x14ac:dyDescent="0.25">
      <c r="A33" s="1" t="s">
        <v>956</v>
      </c>
      <c r="B33" s="1">
        <v>23</v>
      </c>
      <c r="C33" s="305">
        <f t="shared" ca="1" si="2"/>
        <v>359021.32145367516</v>
      </c>
      <c r="D33" s="1"/>
      <c r="E33" s="306" t="str">
        <f t="shared" si="3"/>
        <v/>
      </c>
    </row>
    <row r="34" spans="1:5" x14ac:dyDescent="0.25">
      <c r="A34" s="1" t="s">
        <v>957</v>
      </c>
      <c r="B34" s="1">
        <v>24</v>
      </c>
      <c r="C34" s="305">
        <f t="shared" ca="1" si="2"/>
        <v>726953.71314056474</v>
      </c>
      <c r="D34" s="1"/>
      <c r="E34" s="306" t="str">
        <f t="shared" si="3"/>
        <v/>
      </c>
    </row>
    <row r="35" spans="1:5" x14ac:dyDescent="0.25">
      <c r="A35" s="1" t="s">
        <v>958</v>
      </c>
      <c r="B35" s="1">
        <v>25</v>
      </c>
      <c r="C35" s="305">
        <f t="shared" ca="1" si="2"/>
        <v>389891.822976825</v>
      </c>
      <c r="D35" s="1"/>
      <c r="E35" s="306" t="str">
        <f t="shared" si="3"/>
        <v/>
      </c>
    </row>
    <row r="36" spans="1:5" x14ac:dyDescent="0.25">
      <c r="A36" s="1" t="s">
        <v>1053</v>
      </c>
      <c r="B36" s="1">
        <v>26</v>
      </c>
      <c r="C36" s="305">
        <f t="shared" ca="1" si="2"/>
        <v>576295.40244292701</v>
      </c>
      <c r="D36" s="1"/>
      <c r="E36" s="306" t="str">
        <f t="shared" si="3"/>
        <v/>
      </c>
    </row>
    <row r="37" spans="1:5" x14ac:dyDescent="0.25">
      <c r="A37" s="1" t="s">
        <v>959</v>
      </c>
      <c r="B37" s="1">
        <v>27</v>
      </c>
      <c r="C37" s="305">
        <f t="shared" ca="1" si="2"/>
        <v>613853.59950840904</v>
      </c>
      <c r="D37" s="1"/>
      <c r="E37" s="306" t="str">
        <f t="shared" si="3"/>
        <v/>
      </c>
    </row>
    <row r="38" spans="1:5" x14ac:dyDescent="0.25">
      <c r="A38" s="1" t="s">
        <v>960</v>
      </c>
      <c r="B38" s="1">
        <v>28</v>
      </c>
      <c r="C38" s="305">
        <f t="shared" ca="1" si="2"/>
        <v>428602.93752694188</v>
      </c>
      <c r="D38" s="1"/>
      <c r="E38" s="306" t="str">
        <f t="shared" si="3"/>
        <v/>
      </c>
    </row>
    <row r="39" spans="1:5" x14ac:dyDescent="0.25">
      <c r="A39" s="1" t="s">
        <v>961</v>
      </c>
      <c r="B39" s="1">
        <v>29</v>
      </c>
      <c r="C39" s="305">
        <f t="shared" ca="1" si="2"/>
        <v>115883.47881417441</v>
      </c>
      <c r="D39" s="1"/>
      <c r="E39" s="306" t="str">
        <f t="shared" si="3"/>
        <v/>
      </c>
    </row>
    <row r="40" spans="1:5" x14ac:dyDescent="0.25">
      <c r="A40" s="1" t="s">
        <v>962</v>
      </c>
      <c r="B40" s="1">
        <v>30</v>
      </c>
      <c r="C40" s="305">
        <f t="shared" ca="1" si="2"/>
        <v>281086.3074254602</v>
      </c>
      <c r="D40" s="1"/>
      <c r="E40" s="306" t="str">
        <f t="shared" si="3"/>
        <v/>
      </c>
    </row>
    <row r="41" spans="1:5" x14ac:dyDescent="0.25">
      <c r="A41" s="1" t="s">
        <v>963</v>
      </c>
      <c r="B41" s="1">
        <v>31</v>
      </c>
      <c r="C41" s="305">
        <f t="shared" ca="1" si="2"/>
        <v>905908.42412640236</v>
      </c>
      <c r="D41" s="1"/>
      <c r="E41" s="306" t="str">
        <f t="shared" si="3"/>
        <v/>
      </c>
    </row>
    <row r="42" spans="1:5" x14ac:dyDescent="0.25">
      <c r="A42" s="1" t="s">
        <v>964</v>
      </c>
      <c r="B42" s="1">
        <v>32</v>
      </c>
      <c r="C42" s="305">
        <f t="shared" ca="1" si="2"/>
        <v>533461.64949956781</v>
      </c>
      <c r="D42" s="1"/>
      <c r="E42" s="306" t="str">
        <f t="shared" si="3"/>
        <v/>
      </c>
    </row>
  </sheetData>
  <sheetProtection algorithmName="SHA-512" hashValue="iGkWPXkWJt0RzpzJud1UxVpw2tkWK3b0f1bdh8aoyhB9GAjjRoC6RIgsnmGn45vNMRcVk/zmEZ4ltOXRrpBDfA==" saltValue="NCK7/QZ2jvPJb7wvjeyfsw==" spinCount="100000" sheet="1" objects="1" scenarios="1"/>
  <sortState ref="C11:E18">
    <sortCondition ref="C11"/>
  </sortState>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1055</v>
      </c>
      <c r="E2" s="15"/>
      <c r="F2" s="15"/>
      <c r="G2" s="190">
        <v>32</v>
      </c>
      <c r="H2" s="132" t="s">
        <v>1055</v>
      </c>
      <c r="I2" s="15"/>
      <c r="J2" s="16"/>
      <c r="K2" s="190">
        <v>16</v>
      </c>
      <c r="L2" s="132" t="s">
        <v>1055</v>
      </c>
      <c r="M2" s="16"/>
      <c r="N2" s="16"/>
      <c r="O2" s="190">
        <v>8</v>
      </c>
      <c r="P2" s="132" t="s">
        <v>1055</v>
      </c>
      <c r="Q2" s="15"/>
      <c r="R2" s="16"/>
      <c r="S2" s="190">
        <v>4</v>
      </c>
      <c r="T2" s="132" t="s">
        <v>1065</v>
      </c>
      <c r="U2" s="16"/>
      <c r="V2" s="16"/>
      <c r="W2" s="190">
        <v>2</v>
      </c>
      <c r="X2" s="132" t="s">
        <v>1063</v>
      </c>
      <c r="Y2" s="16"/>
      <c r="Z2" s="16"/>
      <c r="AA2" s="190">
        <v>1</v>
      </c>
      <c r="AB2" s="149" t="s">
        <v>1064</v>
      </c>
      <c r="AC2" s="16"/>
      <c r="AD2" s="16"/>
      <c r="AE2" s="16"/>
      <c r="AF2" s="16"/>
      <c r="AG2" s="16"/>
      <c r="AH2" s="16"/>
      <c r="AI2" s="16"/>
      <c r="AJ2" s="16"/>
    </row>
    <row r="3" spans="1:36" ht="28.9" customHeight="1" thickBot="1" x14ac:dyDescent="0.35">
      <c r="A3" s="28"/>
      <c r="B3" s="31"/>
      <c r="C3" s="216"/>
      <c r="D3" s="307" t="s">
        <v>966</v>
      </c>
      <c r="E3" s="308"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6</v>
      </c>
      <c r="B4" s="150"/>
      <c r="C4" s="79">
        <v>1</v>
      </c>
      <c r="D4" s="80" t="str">
        <f ca="1">VLOOKUP(C4,Postupy!$A$3:$B$66,2,0)</f>
        <v>6 SK Sahara Vědomice - Demčíková Jiřina</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7" t="s">
        <v>966</v>
      </c>
      <c r="I5" s="308"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6 SK Sahara Vědomice - Demčíková Jiřina</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7" t="s">
        <v>966</v>
      </c>
      <c r="E7" s="308"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7" t="s">
        <v>966</v>
      </c>
      <c r="M9" s="308">
        <f ca="1">IF(OR(TRIM(L10)="-",TRIM(L11)="-"),"",VLOOKUP(MIN(K10,K11),Hřiště!$B$11:$E$42,4,0))</f>
        <v>4</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6 SK Sahara Vědomice - Demčíková Jiřina</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7" t="s">
        <v>966</v>
      </c>
      <c r="E11" s="308" t="str">
        <f ca="1">IF(OR(TRIM(D12)="-",TRIM(D13)="-"),"",VLOOKUP(MIN(C12,C13),Hřiště!$B$11:$E$42,4,0))</f>
        <v/>
      </c>
      <c r="F11" s="152"/>
      <c r="G11" s="152"/>
      <c r="H11" s="172"/>
      <c r="I11" s="202"/>
      <c r="J11" s="152"/>
      <c r="K11" s="81">
        <v>16</v>
      </c>
      <c r="L11" s="82" t="str">
        <f ca="1">IF(OR(TRIM(H14)="-",TRIM(H15)="-"), IF(TRIM(H14)="-",H15,H14),IF(AND(I14="",I15="")," ",IF(N(I14)=N(I15)," ",IF(N(I14)&gt;N(I15),H14,H15))))</f>
        <v>35 Spolek Park Grébovka - Nepomucký Jaroslav</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1054</v>
      </c>
      <c r="G13" s="155"/>
      <c r="H13" s="307" t="s">
        <v>966</v>
      </c>
      <c r="I13" s="308"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7" t="s">
        <v>966</v>
      </c>
      <c r="E15" s="308" t="str">
        <f ca="1">IF(OR(TRIM(D16)="-",TRIM(D17)="-"),"",VLOOKUP(MIN(C16,C17),Hřiště!$B$11:$E$42,4,0))</f>
        <v/>
      </c>
      <c r="F15" s="171"/>
      <c r="G15" s="81">
        <v>16</v>
      </c>
      <c r="H15" s="82" t="str">
        <f ca="1">IF(OR(TRIM(D16)="-",TRIM(D17)="-"), IF(TRIM(D16)="-",D17,D16),IF(AND(E16="",E17="")," ",IF(N(E16)=N(E17)," ",IF(N(E16)&gt;N(E17),D16,D17))))</f>
        <v>35 Spolek Park Grébovka - Nepomucký Jaroslav</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f ca="1">VLOOKUP(C17,Postupy!$A$3:$C$66,3,0)</f>
        <v>35</v>
      </c>
      <c r="B17" s="150"/>
      <c r="C17" s="81">
        <v>16</v>
      </c>
      <c r="D17" s="82" t="str">
        <f ca="1">VLOOKUP(C17,Postupy!$A$3:$B$66,2,0)</f>
        <v>35 Spolek Park Grébovka - Nepomucký Jaroslav</v>
      </c>
      <c r="E17" s="131"/>
      <c r="F17" s="177"/>
      <c r="G17" s="152"/>
      <c r="H17" s="169"/>
      <c r="I17" s="202"/>
      <c r="J17" s="152"/>
      <c r="K17" s="152"/>
      <c r="L17" s="178"/>
      <c r="M17" s="203"/>
      <c r="N17" s="161"/>
      <c r="O17" s="155"/>
      <c r="P17" s="307" t="s">
        <v>966</v>
      </c>
      <c r="Q17" s="308">
        <f ca="1">IF(OR(TRIM(P18)="-",TRIM(P19)="-"),"",VLOOKUP(MIN(O18,O19),Hřiště!$B$11:$E$42,4,0))</f>
        <v>4</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7" t="s">
        <v>966</v>
      </c>
      <c r="E19" s="308"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f ca="1">VLOOKUP(C20,Postupy!$A$3:$C$66,3,0)</f>
        <v>7</v>
      </c>
      <c r="B20" s="150"/>
      <c r="C20" s="79">
        <v>9</v>
      </c>
      <c r="D20" s="80" t="str">
        <f ca="1">VLOOKUP(C20,Postupy!$A$3:$B$66,2,0)</f>
        <v>7 PC Kolová - Kacerovský Ivo</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7" t="s">
        <v>966</v>
      </c>
      <c r="I21" s="308"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7 PC Kolová - Kacerovský Ivo</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7" t="s">
        <v>966</v>
      </c>
      <c r="E23" s="308"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7" t="s">
        <v>966</v>
      </c>
      <c r="M25" s="308">
        <f ca="1">IF(OR(TRIM(L26)="-",TRIM(L27)="-"),"",VLOOKUP(MIN(K26,K27),Hřiště!$B$11:$E$42,4,0))</f>
        <v>8</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7 PC Kolová - Kacerovský Ivo</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7" t="s">
        <v>966</v>
      </c>
      <c r="E27" s="308" t="str">
        <f ca="1">IF(OR(TRIM(D28)="-",TRIM(D29)="-"),"",VLOOKUP(MIN(C28,C29),Hřiště!$B$11:$E$42,4,0))</f>
        <v/>
      </c>
      <c r="F27" s="152"/>
      <c r="G27" s="152"/>
      <c r="H27" s="172"/>
      <c r="I27" s="202"/>
      <c r="J27" s="152"/>
      <c r="K27" s="81">
        <v>8</v>
      </c>
      <c r="L27" s="82" t="str">
        <f ca="1">IF(OR(TRIM(H30)="-",TRIM(H31)="-"), IF(TRIM(H30)="-",H31,H30),IF(AND(I30="",I31="")," ",IF(N(I30)=N(I31)," ",IF(N(I30)&gt;N(I31),H30,H31))))</f>
        <v>9 PK Osika Plzeň - Mráz Václav</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1054</v>
      </c>
      <c r="G29" s="155"/>
      <c r="H29" s="307" t="s">
        <v>966</v>
      </c>
      <c r="I29" s="308"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7" t="s">
        <v>966</v>
      </c>
      <c r="E31" s="308" t="str">
        <f ca="1">IF(OR(TRIM(D32)="-",TRIM(D33)="-"),"",VLOOKUP(MIN(C32,C33),Hřiště!$B$11:$E$42,4,0))</f>
        <v/>
      </c>
      <c r="F31" s="171"/>
      <c r="G31" s="81">
        <v>8</v>
      </c>
      <c r="H31" s="82" t="str">
        <f ca="1">IF(OR(TRIM(D32)="-",TRIM(D33)="-"), IF(TRIM(D32)="-",D33,D32),IF(AND(E32="",E33="")," ",IF(N(E32)=N(E33)," ",IF(N(E32)&gt;N(E33),D32,D33))))</f>
        <v>9 PK Osika Plzeň - Mráz Václav</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9</v>
      </c>
      <c r="B33" s="150"/>
      <c r="C33" s="81">
        <v>8</v>
      </c>
      <c r="D33" s="82" t="str">
        <f ca="1">VLOOKUP(C33,Postupy!$A$3:$B$66,2,0)</f>
        <v>9 PK Osika Plzeň - Mráz Václav</v>
      </c>
      <c r="E33" s="131"/>
      <c r="F33" s="177"/>
      <c r="G33" s="152"/>
      <c r="H33" s="169"/>
      <c r="I33" s="202"/>
      <c r="J33" s="152"/>
      <c r="K33" s="152"/>
      <c r="L33" s="178"/>
      <c r="M33" s="202"/>
      <c r="N33" s="152"/>
      <c r="O33" s="152"/>
      <c r="P33" s="179"/>
      <c r="Q33" s="203"/>
      <c r="R33" s="161"/>
      <c r="S33" s="180"/>
      <c r="T33" s="307" t="s">
        <v>966</v>
      </c>
      <c r="U33" s="308">
        <f ca="1">IF(OR(TRIM(T34)="-",TRIM(T35)="-"),"",VLOOKUP(MIN(S34,S35),Hřiště!$B$11:$E$42,4,0))</f>
        <v>4</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7" t="s">
        <v>966</v>
      </c>
      <c r="E35" s="308"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45</v>
      </c>
      <c r="B36" s="150"/>
      <c r="C36" s="79">
        <v>5</v>
      </c>
      <c r="D36" s="80" t="str">
        <f ca="1">VLOOKUP(C36,Postupy!$A$3:$B$66,2,0)</f>
        <v>45 Spolek Park Grébovka - Kremlík Miroslav</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7" t="s">
        <v>966</v>
      </c>
      <c r="I37" s="308"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45 Spolek Park Grébovka - Kremlík Miroslav</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7" t="s">
        <v>966</v>
      </c>
      <c r="E39" s="308"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7" t="s">
        <v>966</v>
      </c>
      <c r="M41" s="308">
        <f ca="1">IF(OR(TRIM(L42)="-",TRIM(L43)="-"),"",VLOOKUP(MIN(K42,K43),Hřiště!$B$11:$E$42,4,0))</f>
        <v>3</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45 Spolek Park Grébovka - Kremlík Miroslav</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7" t="s">
        <v>966</v>
      </c>
      <c r="E43" s="308" t="str">
        <f ca="1">IF(OR(TRIM(D44)="-",TRIM(D45)="-"),"",VLOOKUP(MIN(C44,C45),Hřiště!$B$11:$E$42,4,0))</f>
        <v/>
      </c>
      <c r="F43" s="152"/>
      <c r="G43" s="152"/>
      <c r="H43" s="172"/>
      <c r="I43" s="202"/>
      <c r="J43" s="152"/>
      <c r="K43" s="81">
        <v>12</v>
      </c>
      <c r="L43" s="82" t="str">
        <f ca="1">IF(OR(TRIM(H46)="-",TRIM(H47)="-"), IF(TRIM(H46)="-",H47,H46),IF(AND(I46="",I47="")," ",IF(N(I46)=N(I47)," ",IF(N(I46)&gt;N(I47),H46,H47))))</f>
        <v>3 Petank Club Praha - Klír Tomáš</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1054</v>
      </c>
      <c r="G45" s="155"/>
      <c r="H45" s="307" t="s">
        <v>966</v>
      </c>
      <c r="I45" s="308"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7" t="s">
        <v>966</v>
      </c>
      <c r="E47" s="308" t="str">
        <f ca="1">IF(OR(TRIM(D48)="-",TRIM(D49)="-"),"",VLOOKUP(MIN(C48,C49),Hřiště!$B$11:$E$42,4,0))</f>
        <v/>
      </c>
      <c r="F47" s="171"/>
      <c r="G47" s="81">
        <v>12</v>
      </c>
      <c r="H47" s="82" t="str">
        <f ca="1">IF(OR(TRIM(D48)="-",TRIM(D49)="-"), IF(TRIM(D48)="-",D49,D48),IF(AND(E48="",E49="")," ",IF(N(E48)=N(E49)," ",IF(N(E48)&gt;N(E49),D48,D49))))</f>
        <v>3 Petank Club Praha - Klír Tomáš</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f ca="1">VLOOKUP(C49,Postupy!$A$3:$C$66,3,0)</f>
        <v>3</v>
      </c>
      <c r="B49" s="150"/>
      <c r="C49" s="81">
        <v>12</v>
      </c>
      <c r="D49" s="82" t="str">
        <f ca="1">VLOOKUP(C49,Postupy!$A$3:$B$66,2,0)</f>
        <v>3 Petank Club Praha - Klír Tomáš</v>
      </c>
      <c r="E49" s="131"/>
      <c r="F49" s="177"/>
      <c r="G49" s="152"/>
      <c r="H49" s="169"/>
      <c r="I49" s="202"/>
      <c r="J49" s="152"/>
      <c r="K49" s="152"/>
      <c r="L49" s="178"/>
      <c r="M49" s="203"/>
      <c r="N49" s="161"/>
      <c r="O49" s="164"/>
      <c r="P49" s="307" t="s">
        <v>966</v>
      </c>
      <c r="Q49" s="308">
        <f ca="1">IF(OR(TRIM(P50)="-",TRIM(P51)="-"),"",VLOOKUP(MIN(O50,O51),Hřiště!$B$11:$E$42,4,0))</f>
        <v>6</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7" t="s">
        <v>966</v>
      </c>
      <c r="E51" s="308"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f ca="1">VLOOKUP(C52,Postupy!$A$3:$C$66,3,0)</f>
        <v>16</v>
      </c>
      <c r="B52" s="150"/>
      <c r="C52" s="79">
        <v>13</v>
      </c>
      <c r="D52" s="80" t="str">
        <f ca="1">VLOOKUP(C52,Postupy!$A$3:$B$66,2,0)</f>
        <v>16 FRAPECO - Felčárek Jaroslav</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7" t="s">
        <v>966</v>
      </c>
      <c r="I53" s="308"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16 FRAPECO - Felčárek Jaroslav</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7" t="s">
        <v>966</v>
      </c>
      <c r="E55" s="308"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7" t="s">
        <v>966</v>
      </c>
      <c r="M57" s="308">
        <f ca="1">IF(OR(TRIM(L58)="-",TRIM(L59)="-"),"",VLOOKUP(MIN(K58,K59),Hřiště!$B$11:$E$42,4,0))</f>
        <v>6</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16 FRAPECO - Felčárek Jaroslav</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7" t="s">
        <v>966</v>
      </c>
      <c r="E59" s="308" t="str">
        <f ca="1">IF(OR(TRIM(D60)="-",TRIM(D61)="-"),"",VLOOKUP(MIN(C60,C61),Hřiště!$B$11:$E$42,4,0))</f>
        <v/>
      </c>
      <c r="F59" s="152"/>
      <c r="G59" s="152"/>
      <c r="H59" s="172"/>
      <c r="I59" s="202"/>
      <c r="J59" s="152"/>
      <c r="K59" s="81">
        <v>4</v>
      </c>
      <c r="L59" s="82" t="str">
        <f ca="1">IF(OR(TRIM(H62)="-",TRIM(H63)="-"), IF(TRIM(H62)="-",H63,H62),IF(AND(I62="",I63="")," ",IF(N(I62)=N(I63)," ",IF(N(I62)&gt;N(I63),H62,H63))))</f>
        <v>19 Petank Club Praha - Vorel Jan</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1054</v>
      </c>
      <c r="G61" s="155"/>
      <c r="H61" s="307" t="s">
        <v>966</v>
      </c>
      <c r="I61" s="308"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7" t="s">
        <v>966</v>
      </c>
      <c r="E63" s="308" t="str">
        <f ca="1">IF(OR(TRIM(D64)="-",TRIM(D65)="-"),"",VLOOKUP(MIN(C64,C65),Hřiště!$B$11:$E$42,4,0))</f>
        <v/>
      </c>
      <c r="F63" s="171"/>
      <c r="G63" s="81">
        <v>4</v>
      </c>
      <c r="H63" s="82" t="str">
        <f ca="1">IF(OR(TRIM(D64)="-",TRIM(D65)="-"), IF(TRIM(D64)="-",D65,D64),IF(AND(E64="",E65="")," ",IF(N(E64)=N(E65)," ",IF(N(E64)&gt;N(E65),D64,D65))))</f>
        <v>19 Petank Club Praha - Vorel Jan</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1063</v>
      </c>
      <c r="Y64" s="16"/>
      <c r="Z64" s="16"/>
      <c r="AA64" s="16"/>
      <c r="AB64" s="16"/>
      <c r="AC64" s="16"/>
      <c r="AD64" s="16"/>
      <c r="AE64" s="16"/>
      <c r="AF64" s="16"/>
      <c r="AG64" s="16"/>
      <c r="AH64" s="16"/>
      <c r="AI64" s="16"/>
      <c r="AJ64" s="16"/>
    </row>
    <row r="65" spans="1:36" ht="20.25" thickTop="1" thickBot="1" x14ac:dyDescent="0.35">
      <c r="A65" s="87">
        <f ca="1">VLOOKUP(C65,Postupy!$A$3:$C$66,3,0)</f>
        <v>19</v>
      </c>
      <c r="B65" s="150"/>
      <c r="C65" s="81">
        <v>4</v>
      </c>
      <c r="D65" s="82" t="str">
        <f ca="1">VLOOKUP(C65,Postupy!$A$3:$B$66,2,0)</f>
        <v>19 Petank Club Praha - Vorel Jan</v>
      </c>
      <c r="E65" s="131"/>
      <c r="F65" s="177"/>
      <c r="G65" s="152"/>
      <c r="H65" s="161"/>
      <c r="I65" s="202"/>
      <c r="J65" s="152"/>
      <c r="K65" s="152"/>
      <c r="L65" s="189"/>
      <c r="M65" s="202"/>
      <c r="N65" s="152"/>
      <c r="O65" s="152"/>
      <c r="P65" s="152"/>
      <c r="Q65" s="202"/>
      <c r="R65" s="152"/>
      <c r="S65" s="152"/>
      <c r="T65" s="152"/>
      <c r="U65" s="152"/>
      <c r="V65" s="161"/>
      <c r="W65" s="180"/>
      <c r="X65" s="307" t="s">
        <v>966</v>
      </c>
      <c r="Y65" s="308">
        <f ca="1">IF(OR(TRIM(X66)="-",TRIM(X67)="-"),"",VLOOKUP(MIN(W66,W67),Hřiště!$B$11:$E$42,4,0))</f>
        <v>4</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7" t="s">
        <v>966</v>
      </c>
      <c r="E67" s="308"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11</v>
      </c>
      <c r="B68" s="150"/>
      <c r="C68" s="79">
        <v>3</v>
      </c>
      <c r="D68" s="80" t="str">
        <f ca="1">VLOOKUP(C68,Postupy!$A$3:$B$66,2,0)</f>
        <v>11 PC Sokol Lipník - Froňková Blanka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7" t="s">
        <v>966</v>
      </c>
      <c r="I69" s="308"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11 PC Sokol Lipník - Froňková Blanka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7" t="s">
        <v>966</v>
      </c>
      <c r="E71" s="308"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7" t="s">
        <v>966</v>
      </c>
      <c r="M73" s="308">
        <f ca="1">IF(OR(TRIM(L74)="-",TRIM(L75)="-"),"",VLOOKUP(MIN(K74,K75),Hřiště!$B$11:$E$42,4,0))</f>
        <v>2</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11 PC Sokol Lipník - Froňková Blanka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7" t="s">
        <v>966</v>
      </c>
      <c r="E75" s="308" t="str">
        <f ca="1">IF(OR(TRIM(D76)="-",TRIM(D77)="-"),"",VLOOKUP(MIN(C76,C77),Hřiště!$B$11:$E$42,4,0))</f>
        <v/>
      </c>
      <c r="F75" s="152"/>
      <c r="G75" s="152"/>
      <c r="H75" s="172"/>
      <c r="I75" s="202"/>
      <c r="J75" s="152"/>
      <c r="K75" s="81">
        <v>14</v>
      </c>
      <c r="L75" s="82" t="str">
        <f ca="1">IF(OR(TRIM(H78)="-",TRIM(H79)="-"), IF(TRIM(H78)="-",H79,H78),IF(AND(I78="",I79="")," ",IF(N(I78)=N(I79)," ",IF(N(I78)&gt;N(I79),H78,H79))))</f>
        <v>10 PC Kolová - Plucar Petr</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1054</v>
      </c>
      <c r="G77" s="155"/>
      <c r="H77" s="307" t="s">
        <v>966</v>
      </c>
      <c r="I77" s="308"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7" t="s">
        <v>966</v>
      </c>
      <c r="E79" s="308" t="str">
        <f ca="1">IF(OR(TRIM(D80)="-",TRIM(D81)="-"),"",VLOOKUP(MIN(C80,C81),Hřiště!$B$11:$E$42,4,0))</f>
        <v/>
      </c>
      <c r="F79" s="171"/>
      <c r="G79" s="81">
        <v>14</v>
      </c>
      <c r="H79" s="82" t="str">
        <f ca="1">IF(OR(TRIM(D80)="-",TRIM(D81)="-"), IF(TRIM(D80)="-",D81,D80),IF(AND(E80="",E81="")," ",IF(N(E80)=N(E81)," ",IF(N(E80)&gt;N(E81),D80,D81))))</f>
        <v>10 PC Kolová - Plucar Petr</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f ca="1">VLOOKUP(C81,Postupy!$A$3:$C$66,3,0)</f>
        <v>10</v>
      </c>
      <c r="B81" s="150"/>
      <c r="C81" s="81">
        <v>14</v>
      </c>
      <c r="D81" s="82" t="str">
        <f ca="1">VLOOKUP(C81,Postupy!$A$3:$B$66,2,0)</f>
        <v>10 PC Kolová - Plucar Petr</v>
      </c>
      <c r="E81" s="131"/>
      <c r="F81" s="177"/>
      <c r="G81" s="152"/>
      <c r="H81" s="169"/>
      <c r="I81" s="202"/>
      <c r="J81" s="152"/>
      <c r="K81" s="152"/>
      <c r="L81" s="178"/>
      <c r="M81" s="203"/>
      <c r="N81" s="161"/>
      <c r="O81" s="155"/>
      <c r="P81" s="307" t="s">
        <v>966</v>
      </c>
      <c r="Q81" s="308">
        <f ca="1">IF(OR(TRIM(P82)="-",TRIM(P83)="-"),"",VLOOKUP(MIN(O82,O83),Hřiště!$B$11:$E$42,4,0))</f>
        <v>2</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7" t="s">
        <v>966</v>
      </c>
      <c r="E83" s="308"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f ca="1">VLOOKUP(C84,Postupy!$A$3:$C$66,3,0)</f>
        <v>1</v>
      </c>
      <c r="B84" s="150"/>
      <c r="C84" s="79">
        <v>11</v>
      </c>
      <c r="D84" s="80" t="str">
        <f ca="1">VLOOKUP(C84,Postupy!$A$3:$B$66,2,0)</f>
        <v>1 PC Sokol Lipník - Morávek Petr</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7" t="s">
        <v>966</v>
      </c>
      <c r="I85" s="308"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1 PC Sokol Lipník - Morávek Petr</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7" t="s">
        <v>966</v>
      </c>
      <c r="E87" s="308"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7" t="s">
        <v>966</v>
      </c>
      <c r="M89" s="308">
        <f ca="1">IF(OR(TRIM(L90)="-",TRIM(L91)="-"),"",VLOOKUP(MIN(K90,K91),Hřiště!$B$11:$E$42,4,0))</f>
        <v>1</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1 PC Sokol Lipník - Morávek Petr</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7" t="s">
        <v>966</v>
      </c>
      <c r="E91" s="308" t="str">
        <f ca="1">IF(OR(TRIM(D92)="-",TRIM(D93)="-"),"",VLOOKUP(MIN(C92,C93),Hřiště!$B$11:$E$42,4,0))</f>
        <v/>
      </c>
      <c r="F91" s="152"/>
      <c r="G91" s="152"/>
      <c r="H91" s="172"/>
      <c r="I91" s="202"/>
      <c r="J91" s="152"/>
      <c r="K91" s="81">
        <v>6</v>
      </c>
      <c r="L91" s="82" t="str">
        <f ca="1">IF(OR(TRIM(H94)="-",TRIM(H95)="-"), IF(TRIM(H94)="-",H95,H94),IF(AND(I94="",I95="")," ",IF(N(I94)=N(I95)," ",IF(N(I94)&gt;N(I95),H94,H95))))</f>
        <v>22 UBU Únětice - Palas Pavel</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1054</v>
      </c>
      <c r="G93" s="155"/>
      <c r="H93" s="307" t="s">
        <v>966</v>
      </c>
      <c r="I93" s="308"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7" t="s">
        <v>966</v>
      </c>
      <c r="E95" s="308" t="str">
        <f ca="1">IF(OR(TRIM(D96)="-",TRIM(D97)="-"),"",VLOOKUP(MIN(C96,C97),Hřiště!$B$11:$E$42,4,0))</f>
        <v/>
      </c>
      <c r="F95" s="171"/>
      <c r="G95" s="81">
        <v>6</v>
      </c>
      <c r="H95" s="82" t="str">
        <f ca="1">IF(OR(TRIM(D96)="-",TRIM(D97)="-"), IF(TRIM(D96)="-",D97,D96),IF(AND(E96="",E97="")," ",IF(N(E96)=N(E97)," ",IF(N(E96)&gt;N(E97),D96,D97))))</f>
        <v>22 UBU Únětice - Palas Pavel</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22</v>
      </c>
      <c r="B97" s="150"/>
      <c r="C97" s="81">
        <v>6</v>
      </c>
      <c r="D97" s="82" t="str">
        <f ca="1">VLOOKUP(C97,Postupy!$A$3:$B$66,2,0)</f>
        <v>22 UBU Únětice - Palas Pavel</v>
      </c>
      <c r="E97" s="131"/>
      <c r="F97" s="177"/>
      <c r="G97" s="152"/>
      <c r="H97" s="169"/>
      <c r="I97" s="202"/>
      <c r="J97" s="152"/>
      <c r="K97" s="152"/>
      <c r="L97" s="178"/>
      <c r="M97" s="202"/>
      <c r="N97" s="152"/>
      <c r="O97" s="152"/>
      <c r="P97" s="179"/>
      <c r="Q97" s="203"/>
      <c r="R97" s="161"/>
      <c r="S97" s="180"/>
      <c r="T97" s="307" t="s">
        <v>966</v>
      </c>
      <c r="U97" s="308">
        <f ca="1">IF(OR(TRIM(T98)="-",TRIM(T99)="-"),"",VLOOKUP(MIN(S98,S99),Hřiště!$B$11:$E$42,4,0))</f>
        <v>5</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7" t="s">
        <v>966</v>
      </c>
      <c r="E99" s="308"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43</v>
      </c>
      <c r="B100" s="150"/>
      <c r="C100" s="79">
        <v>7</v>
      </c>
      <c r="D100" s="80" t="str">
        <f ca="1">VLOOKUP(C100,Postupy!$A$3:$B$66,2,0)</f>
        <v>43 SK Španielka Řepy - Holoubek Pavel</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7" t="s">
        <v>966</v>
      </c>
      <c r="I101" s="308"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43 SK Španielka Řepy - Holoubek Pavel</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7" t="s">
        <v>966</v>
      </c>
      <c r="E103" s="308"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1066</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1067</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7" t="s">
        <v>966</v>
      </c>
      <c r="M105" s="308">
        <f ca="1">IF(OR(TRIM(L106)="-",TRIM(L107)="-"),"",VLOOKUP(MIN(K106,K107),Hřiště!$B$11:$E$42,4,0))</f>
        <v>7</v>
      </c>
      <c r="N105" s="171"/>
      <c r="O105" s="152"/>
      <c r="P105" s="179"/>
      <c r="Q105" s="203"/>
      <c r="R105" s="161"/>
      <c r="S105" s="164"/>
      <c r="T105" s="152"/>
      <c r="U105" s="40"/>
      <c r="V105" s="152"/>
      <c r="W105" s="152"/>
      <c r="X105" s="307" t="s">
        <v>966</v>
      </c>
      <c r="Y105" s="308">
        <f ca="1">IF(OR(TRIM(X106)="-",TRIM(X107)="-"),"",VLOOKUP(MIN(W106,W107),Hřiště!$B$11:$E$42,4,0))</f>
        <v>2</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43 SK Španielka Řepy - Holoubek Pavel</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7" t="s">
        <v>966</v>
      </c>
      <c r="E107" s="308" t="str">
        <f ca="1">IF(OR(TRIM(D108)="-",TRIM(D109)="-"),"",VLOOKUP(MIN(C108,C109),Hřiště!$B$11:$E$42,4,0))</f>
        <v/>
      </c>
      <c r="F107" s="152"/>
      <c r="G107" s="152"/>
      <c r="H107" s="172"/>
      <c r="I107" s="202"/>
      <c r="J107" s="152"/>
      <c r="K107" s="81">
        <v>10</v>
      </c>
      <c r="L107" s="82" t="str">
        <f ca="1">IF(OR(TRIM(H110)="-",TRIM(H111)="-"), IF(TRIM(H110)="-",H111,H110),IF(AND(I110="",I111="")," ",IF(N(I110)=N(I111)," ",IF(N(I110)&gt;N(I111),H110,H111))))</f>
        <v>20 Club Rodamiento - Dlouhá Ivana</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1054</v>
      </c>
      <c r="G109" s="155"/>
      <c r="H109" s="307" t="s">
        <v>966</v>
      </c>
      <c r="I109" s="308"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7" t="s">
        <v>966</v>
      </c>
      <c r="E111" s="308" t="str">
        <f ca="1">IF(OR(TRIM(D112)="-",TRIM(D113)="-"),"",VLOOKUP(MIN(C112,C113),Hřiště!$B$11:$E$42,4,0))</f>
        <v/>
      </c>
      <c r="F111" s="171"/>
      <c r="G111" s="81">
        <v>10</v>
      </c>
      <c r="H111" s="82" t="str">
        <f ca="1">IF(OR(TRIM(D112)="-",TRIM(D113)="-"), IF(TRIM(D112)="-",D113,D112),IF(AND(E112="",E113="")," ",IF(N(E112)=N(E113)," ",IF(N(E112)&gt;N(E113),D112,D113))))</f>
        <v>20 Club Rodamiento - Dlouhá Ivana</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f ca="1">VLOOKUP(C113,Postupy!$A$3:$C$66,3,0)</f>
        <v>20</v>
      </c>
      <c r="B113" s="150"/>
      <c r="C113" s="81">
        <v>10</v>
      </c>
      <c r="D113" s="82" t="str">
        <f ca="1">VLOOKUP(C113,Postupy!$A$3:$B$66,2,0)</f>
        <v>20 Club Rodamiento - Dlouhá Ivana</v>
      </c>
      <c r="E113" s="131"/>
      <c r="F113" s="177"/>
      <c r="G113" s="152"/>
      <c r="H113" s="169"/>
      <c r="I113" s="202"/>
      <c r="J113" s="152"/>
      <c r="K113" s="152"/>
      <c r="L113" s="178"/>
      <c r="M113" s="203"/>
      <c r="N113" s="161"/>
      <c r="O113" s="164"/>
      <c r="P113" s="307" t="s">
        <v>966</v>
      </c>
      <c r="Q113" s="308">
        <f ca="1">IF(OR(TRIM(P114)="-",TRIM(P115)="-"),"",VLOOKUP(MIN(O114,O115),Hřiště!$B$11:$E$42,4,0))</f>
        <v>5</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7" t="s">
        <v>966</v>
      </c>
      <c r="E115" s="308"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f ca="1">VLOOKUP(C116,Postupy!$A$3:$C$66,3,0)</f>
        <v>12</v>
      </c>
      <c r="B116" s="150"/>
      <c r="C116" s="79">
        <v>15</v>
      </c>
      <c r="D116" s="80" t="str">
        <f ca="1">VLOOKUP(C116,Postupy!$A$3:$B$66,2,0)</f>
        <v>12 CdP Loděnice - Marhoul Jan</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7" t="s">
        <v>966</v>
      </c>
      <c r="I117" s="308"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12 CdP Loděnice - Marhoul Jan</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7" t="s">
        <v>966</v>
      </c>
      <c r="E119" s="308"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7" t="s">
        <v>966</v>
      </c>
      <c r="M121" s="308">
        <f ca="1">IF(OR(TRIM(L122)="-",TRIM(L123)="-"),"",VLOOKUP(MIN(K122,K123),Hřiště!$B$11:$E$42,4,0))</f>
        <v>5</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12 CdP Loděnice - Marhoul Jan</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7" t="s">
        <v>966</v>
      </c>
      <c r="E123" s="308" t="str">
        <f ca="1">IF(OR(TRIM(D124)="-",TRIM(D125)="-"),"",VLOOKUP(MIN(C124,C125),Hřiště!$B$11:$E$42,4,0))</f>
        <v/>
      </c>
      <c r="F123" s="152"/>
      <c r="G123" s="152"/>
      <c r="H123" s="172"/>
      <c r="I123" s="202"/>
      <c r="J123" s="152"/>
      <c r="K123" s="81">
        <v>2</v>
      </c>
      <c r="L123" s="82" t="str">
        <f ca="1">IF(OR(TRIM(H126)="-",TRIM(H127)="-"), IF(TRIM(H126)="-",H127,H126),IF(AND(I126="",I127="")," ",IF(N(I126)=N(I127)," ",IF(N(I126)&gt;N(I127),H126,H127))))</f>
        <v>2 PC Sokol Lipník - Fafek Petr</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1054</v>
      </c>
      <c r="G125" s="155"/>
      <c r="H125" s="307" t="s">
        <v>966</v>
      </c>
      <c r="I125" s="308"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7" t="s">
        <v>966</v>
      </c>
      <c r="E127" s="308" t="str">
        <f ca="1">IF(OR(TRIM(D128)="-",TRIM(D129)="-"),"",VLOOKUP(MIN(C128,C129),Hřiště!$B$11:$E$42,4,0))</f>
        <v/>
      </c>
      <c r="F127" s="171"/>
      <c r="G127" s="81">
        <v>2</v>
      </c>
      <c r="H127" s="82" t="str">
        <f ca="1">IF(OR(TRIM(D128)="-",TRIM(D129)="-"), IF(TRIM(D128)="-",D129,D128),IF(AND(E128="",E129="")," ",IF(N(E128)=N(E129)," ",IF(N(E128)&gt;N(E129),D128,D129))))</f>
        <v>2 PC Sokol Lipník - Fafek Petr</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2</v>
      </c>
      <c r="B129" s="150"/>
      <c r="C129" s="81">
        <v>2</v>
      </c>
      <c r="D129" s="82" t="str">
        <f ca="1">VLOOKUP(C129,Postupy!$A$3:$B$66,2,0)</f>
        <v>2 PC Sokol Lipník - Fafek Petr</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28" activePane="bottomRight" state="frozen"/>
      <selection activeCell="B3" sqref="B3"/>
      <selection pane="topRight" activeCell="B3" sqref="B3"/>
      <selection pane="bottomLeft" activeCell="B3" sqref="B3"/>
      <selection pane="bottomRight" activeCell="B42" sqref="B42"/>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725</v>
      </c>
      <c r="B1" s="126"/>
      <c r="C1" s="126"/>
      <c r="D1" s="126"/>
      <c r="E1" s="127"/>
      <c r="F1" s="454">
        <v>42559</v>
      </c>
    </row>
    <row r="2" spans="1:6" ht="13.5" x14ac:dyDescent="0.25">
      <c r="B2" s="128"/>
      <c r="C2" s="128"/>
      <c r="D2" s="128"/>
      <c r="E2" s="128"/>
      <c r="F2" s="128"/>
    </row>
    <row r="3" spans="1:6" ht="13.5" x14ac:dyDescent="0.25">
      <c r="A3" s="129" t="s">
        <v>1071</v>
      </c>
      <c r="B3" s="129" t="s">
        <v>726</v>
      </c>
      <c r="C3" s="129" t="s">
        <v>727</v>
      </c>
      <c r="D3" s="129" t="s">
        <v>728</v>
      </c>
      <c r="E3" s="129" t="s">
        <v>729</v>
      </c>
      <c r="F3" s="129" t="s">
        <v>730</v>
      </c>
    </row>
    <row r="4" spans="1:6" x14ac:dyDescent="0.25">
      <c r="A4">
        <v>16001</v>
      </c>
      <c r="B4" t="s">
        <v>1319</v>
      </c>
      <c r="C4" s="444" t="s">
        <v>1320</v>
      </c>
      <c r="D4" t="s">
        <v>1234</v>
      </c>
      <c r="E4" t="s">
        <v>1104</v>
      </c>
      <c r="F4">
        <v>2</v>
      </c>
    </row>
    <row r="5" spans="1:6" x14ac:dyDescent="0.25">
      <c r="A5">
        <v>16002</v>
      </c>
      <c r="B5" t="s">
        <v>1321</v>
      </c>
      <c r="C5" s="444" t="s">
        <v>1322</v>
      </c>
      <c r="D5" t="s">
        <v>1115</v>
      </c>
      <c r="E5" t="s">
        <v>1116</v>
      </c>
      <c r="F5">
        <v>3</v>
      </c>
    </row>
    <row r="6" spans="1:6" x14ac:dyDescent="0.25">
      <c r="A6">
        <v>16004</v>
      </c>
      <c r="B6" t="s">
        <v>1235</v>
      </c>
      <c r="C6" s="444" t="s">
        <v>1323</v>
      </c>
      <c r="D6" t="s">
        <v>1141</v>
      </c>
      <c r="E6" t="s">
        <v>1142</v>
      </c>
      <c r="F6">
        <v>2</v>
      </c>
    </row>
    <row r="7" spans="1:6" x14ac:dyDescent="0.25">
      <c r="A7">
        <v>16003</v>
      </c>
      <c r="B7" t="s">
        <v>1120</v>
      </c>
      <c r="C7" s="444" t="s">
        <v>1323</v>
      </c>
      <c r="D7" t="s">
        <v>1121</v>
      </c>
      <c r="E7" t="s">
        <v>1122</v>
      </c>
      <c r="F7">
        <v>2</v>
      </c>
    </row>
    <row r="8" spans="1:6" x14ac:dyDescent="0.25">
      <c r="A8">
        <v>16005</v>
      </c>
      <c r="B8" t="s">
        <v>1324</v>
      </c>
      <c r="C8" s="444" t="s">
        <v>1325</v>
      </c>
      <c r="D8" t="s">
        <v>1326</v>
      </c>
      <c r="E8" t="s">
        <v>1123</v>
      </c>
      <c r="F8">
        <v>3</v>
      </c>
    </row>
    <row r="9" spans="1:6" x14ac:dyDescent="0.25">
      <c r="A9">
        <v>16006</v>
      </c>
      <c r="B9" t="s">
        <v>1327</v>
      </c>
      <c r="C9" s="444" t="s">
        <v>1328</v>
      </c>
      <c r="D9" t="s">
        <v>1115</v>
      </c>
      <c r="E9" t="s">
        <v>1116</v>
      </c>
      <c r="F9">
        <v>2</v>
      </c>
    </row>
    <row r="10" spans="1:6" x14ac:dyDescent="0.25">
      <c r="A10">
        <v>16007</v>
      </c>
      <c r="B10" t="s">
        <v>1124</v>
      </c>
      <c r="C10" s="444" t="s">
        <v>1329</v>
      </c>
      <c r="D10" t="s">
        <v>713</v>
      </c>
      <c r="E10" t="s">
        <v>1125</v>
      </c>
      <c r="F10">
        <v>2</v>
      </c>
    </row>
    <row r="11" spans="1:6" x14ac:dyDescent="0.25">
      <c r="A11">
        <v>16010</v>
      </c>
      <c r="B11" t="s">
        <v>1127</v>
      </c>
      <c r="C11" s="444" t="s">
        <v>1330</v>
      </c>
      <c r="D11" t="s">
        <v>1126</v>
      </c>
      <c r="E11" t="s">
        <v>696</v>
      </c>
      <c r="F11">
        <v>3</v>
      </c>
    </row>
    <row r="12" spans="1:6" x14ac:dyDescent="0.25">
      <c r="A12">
        <v>16008</v>
      </c>
      <c r="B12" t="s">
        <v>1117</v>
      </c>
      <c r="C12" s="444" t="s">
        <v>1330</v>
      </c>
      <c r="D12" t="s">
        <v>1118</v>
      </c>
      <c r="E12" t="s">
        <v>777</v>
      </c>
      <c r="F12">
        <v>2</v>
      </c>
    </row>
    <row r="13" spans="1:6" x14ac:dyDescent="0.25">
      <c r="A13">
        <v>16009</v>
      </c>
      <c r="B13" t="s">
        <v>1139</v>
      </c>
      <c r="C13" s="444" t="s">
        <v>1330</v>
      </c>
      <c r="D13" t="s">
        <v>1243</v>
      </c>
      <c r="E13" t="s">
        <v>1140</v>
      </c>
      <c r="F13">
        <v>3</v>
      </c>
    </row>
    <row r="14" spans="1:6" x14ac:dyDescent="0.25">
      <c r="A14">
        <v>16011</v>
      </c>
      <c r="B14" t="s">
        <v>1331</v>
      </c>
      <c r="C14" s="444" t="s">
        <v>1332</v>
      </c>
      <c r="D14" t="s">
        <v>1234</v>
      </c>
      <c r="E14" t="s">
        <v>1104</v>
      </c>
      <c r="F14">
        <v>2</v>
      </c>
    </row>
    <row r="15" spans="1:6" x14ac:dyDescent="0.25">
      <c r="A15">
        <v>16012</v>
      </c>
      <c r="B15" t="s">
        <v>1129</v>
      </c>
      <c r="C15" s="444" t="s">
        <v>1332</v>
      </c>
      <c r="D15" t="s">
        <v>1241</v>
      </c>
      <c r="E15" t="s">
        <v>1333</v>
      </c>
      <c r="F15">
        <v>3</v>
      </c>
    </row>
    <row r="16" spans="1:6" x14ac:dyDescent="0.25">
      <c r="A16">
        <v>16013</v>
      </c>
      <c r="B16" t="s">
        <v>1334</v>
      </c>
      <c r="C16" s="444" t="s">
        <v>1335</v>
      </c>
      <c r="D16" t="s">
        <v>1234</v>
      </c>
      <c r="E16" t="s">
        <v>1104</v>
      </c>
      <c r="F16">
        <v>2</v>
      </c>
    </row>
    <row r="17" spans="1:6" x14ac:dyDescent="0.25">
      <c r="A17">
        <v>16014</v>
      </c>
      <c r="B17" t="s">
        <v>1336</v>
      </c>
      <c r="C17" s="444" t="s">
        <v>1335</v>
      </c>
      <c r="D17" t="s">
        <v>1115</v>
      </c>
      <c r="E17" t="s">
        <v>1116</v>
      </c>
      <c r="F17">
        <v>2</v>
      </c>
    </row>
    <row r="18" spans="1:6" x14ac:dyDescent="0.25">
      <c r="A18">
        <v>16015</v>
      </c>
      <c r="B18" t="s">
        <v>1337</v>
      </c>
      <c r="C18" s="444" t="s">
        <v>1338</v>
      </c>
      <c r="D18" t="s">
        <v>1339</v>
      </c>
      <c r="F18">
        <v>3</v>
      </c>
    </row>
    <row r="19" spans="1:6" x14ac:dyDescent="0.25">
      <c r="A19">
        <v>16017</v>
      </c>
      <c r="B19" t="s">
        <v>1135</v>
      </c>
      <c r="C19" s="444" t="s">
        <v>1338</v>
      </c>
      <c r="D19" t="s">
        <v>1121</v>
      </c>
      <c r="E19" t="s">
        <v>1122</v>
      </c>
      <c r="F19">
        <v>1</v>
      </c>
    </row>
    <row r="20" spans="1:6" x14ac:dyDescent="0.25">
      <c r="A20">
        <v>16018</v>
      </c>
      <c r="B20" t="s">
        <v>1132</v>
      </c>
      <c r="C20" s="444" t="s">
        <v>1338</v>
      </c>
      <c r="D20" t="s">
        <v>1133</v>
      </c>
      <c r="E20" t="s">
        <v>1340</v>
      </c>
      <c r="F20">
        <v>2</v>
      </c>
    </row>
    <row r="21" spans="1:6" x14ac:dyDescent="0.25">
      <c r="A21">
        <v>16016</v>
      </c>
      <c r="B21" t="s">
        <v>1341</v>
      </c>
      <c r="C21" s="444" t="s">
        <v>1338</v>
      </c>
      <c r="D21" t="s">
        <v>1137</v>
      </c>
      <c r="E21" t="s">
        <v>1138</v>
      </c>
      <c r="F21">
        <v>2</v>
      </c>
    </row>
    <row r="22" spans="1:6" x14ac:dyDescent="0.25">
      <c r="A22">
        <v>16019</v>
      </c>
      <c r="B22" t="s">
        <v>1342</v>
      </c>
      <c r="C22" s="444" t="s">
        <v>1338</v>
      </c>
      <c r="D22" t="s">
        <v>1240</v>
      </c>
      <c r="E22" t="s">
        <v>1131</v>
      </c>
      <c r="F22">
        <v>2</v>
      </c>
    </row>
    <row r="23" spans="1:6" x14ac:dyDescent="0.25">
      <c r="A23">
        <v>16020</v>
      </c>
      <c r="B23" t="s">
        <v>1343</v>
      </c>
      <c r="C23" s="444" t="s">
        <v>1344</v>
      </c>
      <c r="D23" t="s">
        <v>1345</v>
      </c>
      <c r="E23" t="s">
        <v>678</v>
      </c>
      <c r="F23">
        <v>3</v>
      </c>
    </row>
    <row r="24" spans="1:6" x14ac:dyDescent="0.25">
      <c r="A24">
        <v>16022</v>
      </c>
      <c r="B24" t="s">
        <v>1239</v>
      </c>
      <c r="C24" s="444" t="s">
        <v>1346</v>
      </c>
      <c r="D24" t="s">
        <v>1141</v>
      </c>
      <c r="E24" t="s">
        <v>1142</v>
      </c>
      <c r="F24">
        <v>1</v>
      </c>
    </row>
    <row r="25" spans="1:6" x14ac:dyDescent="0.25">
      <c r="A25">
        <v>16021</v>
      </c>
      <c r="B25" t="s">
        <v>1347</v>
      </c>
      <c r="C25" s="444" t="s">
        <v>1346</v>
      </c>
      <c r="D25" t="s">
        <v>1242</v>
      </c>
      <c r="E25" t="s">
        <v>1348</v>
      </c>
      <c r="F25">
        <v>3</v>
      </c>
    </row>
    <row r="26" spans="1:6" x14ac:dyDescent="0.25">
      <c r="A26">
        <v>16023</v>
      </c>
      <c r="B26" t="s">
        <v>1349</v>
      </c>
      <c r="C26" s="444" t="s">
        <v>1350</v>
      </c>
      <c r="F26">
        <v>0</v>
      </c>
    </row>
    <row r="27" spans="1:6" x14ac:dyDescent="0.25">
      <c r="A27">
        <v>16024</v>
      </c>
      <c r="B27" t="s">
        <v>1351</v>
      </c>
      <c r="C27" s="444" t="s">
        <v>1352</v>
      </c>
      <c r="D27" t="s">
        <v>1353</v>
      </c>
      <c r="E27" t="s">
        <v>1143</v>
      </c>
      <c r="F27">
        <v>3</v>
      </c>
    </row>
    <row r="28" spans="1:6" x14ac:dyDescent="0.25">
      <c r="A28">
        <v>16025</v>
      </c>
      <c r="B28" t="s">
        <v>1248</v>
      </c>
      <c r="C28" s="444" t="s">
        <v>1354</v>
      </c>
      <c r="D28" t="s">
        <v>1130</v>
      </c>
      <c r="E28" t="s">
        <v>680</v>
      </c>
      <c r="F28">
        <v>2</v>
      </c>
    </row>
    <row r="29" spans="1:6" x14ac:dyDescent="0.25">
      <c r="A29">
        <v>16026</v>
      </c>
      <c r="B29" t="s">
        <v>1244</v>
      </c>
      <c r="C29" s="444" t="s">
        <v>1355</v>
      </c>
      <c r="D29" t="s">
        <v>1118</v>
      </c>
      <c r="E29" t="s">
        <v>777</v>
      </c>
      <c r="F29">
        <v>1</v>
      </c>
    </row>
    <row r="30" spans="1:6" x14ac:dyDescent="0.25">
      <c r="A30">
        <v>16027</v>
      </c>
      <c r="B30" t="s">
        <v>1356</v>
      </c>
      <c r="C30" s="444" t="s">
        <v>1357</v>
      </c>
      <c r="D30" t="s">
        <v>1118</v>
      </c>
      <c r="E30" t="s">
        <v>777</v>
      </c>
      <c r="F30">
        <v>1</v>
      </c>
    </row>
    <row r="31" spans="1:6" x14ac:dyDescent="0.25">
      <c r="A31">
        <v>16028</v>
      </c>
      <c r="B31" t="s">
        <v>1358</v>
      </c>
      <c r="C31" s="444" t="s">
        <v>1359</v>
      </c>
      <c r="D31" t="s">
        <v>1360</v>
      </c>
      <c r="F31">
        <v>3</v>
      </c>
    </row>
    <row r="32" spans="1:6" x14ac:dyDescent="0.25">
      <c r="A32">
        <v>16029</v>
      </c>
      <c r="B32" t="s">
        <v>1361</v>
      </c>
      <c r="C32" s="444" t="s">
        <v>1359</v>
      </c>
      <c r="D32" t="s">
        <v>1146</v>
      </c>
      <c r="E32" t="s">
        <v>1147</v>
      </c>
      <c r="F32">
        <v>2</v>
      </c>
    </row>
    <row r="33" spans="1:6" x14ac:dyDescent="0.25">
      <c r="A33">
        <v>16030</v>
      </c>
      <c r="B33" t="s">
        <v>1362</v>
      </c>
      <c r="C33" s="444" t="s">
        <v>1359</v>
      </c>
      <c r="D33" t="s">
        <v>1115</v>
      </c>
      <c r="E33" t="s">
        <v>1176</v>
      </c>
      <c r="F33">
        <v>2</v>
      </c>
    </row>
    <row r="34" spans="1:6" x14ac:dyDescent="0.25">
      <c r="A34">
        <v>16031</v>
      </c>
      <c r="B34" t="s">
        <v>1363</v>
      </c>
      <c r="C34" s="444" t="s">
        <v>1364</v>
      </c>
      <c r="D34" t="s">
        <v>1345</v>
      </c>
      <c r="E34" t="s">
        <v>678</v>
      </c>
      <c r="F34">
        <v>3</v>
      </c>
    </row>
    <row r="35" spans="1:6" x14ac:dyDescent="0.25">
      <c r="A35">
        <v>16032</v>
      </c>
      <c r="B35" t="s">
        <v>1245</v>
      </c>
      <c r="C35" s="444" t="s">
        <v>1365</v>
      </c>
      <c r="D35" t="s">
        <v>1366</v>
      </c>
      <c r="E35" t="s">
        <v>1172</v>
      </c>
      <c r="F35">
        <v>3</v>
      </c>
    </row>
    <row r="36" spans="1:6" x14ac:dyDescent="0.25">
      <c r="A36">
        <v>16033</v>
      </c>
      <c r="B36" t="s">
        <v>1349</v>
      </c>
      <c r="C36" s="444" t="s">
        <v>1367</v>
      </c>
      <c r="F36">
        <v>0</v>
      </c>
    </row>
    <row r="37" spans="1:6" x14ac:dyDescent="0.25">
      <c r="A37">
        <v>16034</v>
      </c>
      <c r="B37" t="s">
        <v>1368</v>
      </c>
      <c r="C37" s="444" t="s">
        <v>1369</v>
      </c>
      <c r="D37" t="s">
        <v>1370</v>
      </c>
      <c r="F37">
        <v>3</v>
      </c>
    </row>
    <row r="38" spans="1:6" x14ac:dyDescent="0.25">
      <c r="A38">
        <v>16035</v>
      </c>
      <c r="B38" t="s">
        <v>1371</v>
      </c>
      <c r="C38" s="444" t="s">
        <v>1369</v>
      </c>
      <c r="D38" t="s">
        <v>1246</v>
      </c>
      <c r="E38" t="s">
        <v>1136</v>
      </c>
      <c r="F38">
        <v>3</v>
      </c>
    </row>
    <row r="39" spans="1:6" x14ac:dyDescent="0.25">
      <c r="A39">
        <v>16037</v>
      </c>
      <c r="B39" t="s">
        <v>1372</v>
      </c>
      <c r="C39" s="444" t="s">
        <v>1373</v>
      </c>
      <c r="D39" t="s">
        <v>1374</v>
      </c>
      <c r="E39" t="s">
        <v>1375</v>
      </c>
      <c r="F39">
        <v>3</v>
      </c>
    </row>
    <row r="40" spans="1:6" x14ac:dyDescent="0.25">
      <c r="A40">
        <v>16036</v>
      </c>
      <c r="B40" t="s">
        <v>1376</v>
      </c>
      <c r="C40" s="444" t="s">
        <v>1373</v>
      </c>
      <c r="D40" t="s">
        <v>1130</v>
      </c>
      <c r="E40" t="s">
        <v>680</v>
      </c>
      <c r="F40">
        <v>2</v>
      </c>
    </row>
    <row r="41" spans="1:6" x14ac:dyDescent="0.25">
      <c r="A41">
        <v>16038</v>
      </c>
      <c r="B41" t="s">
        <v>1377</v>
      </c>
      <c r="C41" s="444" t="s">
        <v>1378</v>
      </c>
      <c r="D41" t="s">
        <v>1137</v>
      </c>
      <c r="E41" t="s">
        <v>1138</v>
      </c>
      <c r="F41">
        <v>3</v>
      </c>
    </row>
    <row r="42" spans="1:6" x14ac:dyDescent="0.25">
      <c r="A42">
        <v>16040</v>
      </c>
      <c r="B42" t="s">
        <v>1379</v>
      </c>
      <c r="C42" s="444" t="s">
        <v>1380</v>
      </c>
      <c r="D42" t="s">
        <v>1141</v>
      </c>
      <c r="E42" t="s">
        <v>1142</v>
      </c>
      <c r="F42">
        <v>2</v>
      </c>
    </row>
    <row r="43" spans="1:6" x14ac:dyDescent="0.25">
      <c r="A43">
        <v>16039</v>
      </c>
      <c r="B43" t="s">
        <v>1381</v>
      </c>
      <c r="C43" s="444" t="s">
        <v>1380</v>
      </c>
      <c r="D43" t="s">
        <v>1382</v>
      </c>
      <c r="E43" t="s">
        <v>1175</v>
      </c>
      <c r="F43">
        <v>3</v>
      </c>
    </row>
    <row r="44" spans="1:6" x14ac:dyDescent="0.25">
      <c r="A44">
        <v>16041</v>
      </c>
      <c r="B44" t="s">
        <v>1383</v>
      </c>
      <c r="C44" s="444" t="s">
        <v>1380</v>
      </c>
      <c r="D44" t="s">
        <v>1144</v>
      </c>
      <c r="E44" t="s">
        <v>1384</v>
      </c>
      <c r="F44">
        <v>3</v>
      </c>
    </row>
    <row r="45" spans="1:6" x14ac:dyDescent="0.25">
      <c r="A45">
        <v>16043</v>
      </c>
      <c r="B45" t="s">
        <v>1145</v>
      </c>
      <c r="C45" s="444" t="s">
        <v>1385</v>
      </c>
      <c r="D45" t="s">
        <v>1146</v>
      </c>
      <c r="E45" t="s">
        <v>1147</v>
      </c>
      <c r="F45">
        <v>2</v>
      </c>
    </row>
    <row r="46" spans="1:6" x14ac:dyDescent="0.25">
      <c r="A46">
        <v>16042</v>
      </c>
      <c r="B46" t="s">
        <v>1386</v>
      </c>
      <c r="C46" s="444" t="s">
        <v>1385</v>
      </c>
      <c r="D46" t="s">
        <v>1387</v>
      </c>
      <c r="E46" t="s">
        <v>31</v>
      </c>
      <c r="F46">
        <v>3</v>
      </c>
    </row>
    <row r="47" spans="1:6" x14ac:dyDescent="0.25">
      <c r="A47">
        <v>16045</v>
      </c>
      <c r="B47" t="s">
        <v>1388</v>
      </c>
      <c r="C47" s="444" t="s">
        <v>1389</v>
      </c>
      <c r="D47" t="s">
        <v>1137</v>
      </c>
      <c r="E47" t="s">
        <v>1138</v>
      </c>
      <c r="F47">
        <v>3</v>
      </c>
    </row>
    <row r="48" spans="1:6" x14ac:dyDescent="0.25">
      <c r="A48">
        <v>16044</v>
      </c>
      <c r="B48" t="s">
        <v>1390</v>
      </c>
      <c r="C48" s="444" t="s">
        <v>1389</v>
      </c>
      <c r="D48" t="s">
        <v>1391</v>
      </c>
      <c r="E48" t="s">
        <v>65</v>
      </c>
      <c r="F48">
        <v>3</v>
      </c>
    </row>
    <row r="49" spans="1:6" x14ac:dyDescent="0.25">
      <c r="A49">
        <v>16046</v>
      </c>
      <c r="B49" t="s">
        <v>1150</v>
      </c>
      <c r="C49" s="444" t="s">
        <v>1389</v>
      </c>
      <c r="D49" t="s">
        <v>1241</v>
      </c>
      <c r="E49" t="s">
        <v>1333</v>
      </c>
      <c r="F49">
        <v>1</v>
      </c>
    </row>
    <row r="50" spans="1:6" x14ac:dyDescent="0.25">
      <c r="A50">
        <v>16047</v>
      </c>
      <c r="B50" t="s">
        <v>1392</v>
      </c>
      <c r="C50" s="444" t="s">
        <v>1393</v>
      </c>
      <c r="D50" t="s">
        <v>713</v>
      </c>
      <c r="E50" t="s">
        <v>1125</v>
      </c>
      <c r="F50">
        <v>2</v>
      </c>
    </row>
    <row r="51" spans="1:6" x14ac:dyDescent="0.25">
      <c r="A51">
        <v>16049</v>
      </c>
      <c r="B51" t="s">
        <v>1394</v>
      </c>
      <c r="C51" s="444" t="s">
        <v>1395</v>
      </c>
      <c r="D51" t="s">
        <v>1141</v>
      </c>
      <c r="E51" t="s">
        <v>1142</v>
      </c>
      <c r="F51">
        <v>3</v>
      </c>
    </row>
    <row r="52" spans="1:6" x14ac:dyDescent="0.25">
      <c r="A52">
        <v>16048</v>
      </c>
      <c r="B52" t="s">
        <v>1</v>
      </c>
      <c r="C52" s="444" t="s">
        <v>1395</v>
      </c>
      <c r="D52" t="s">
        <v>2</v>
      </c>
      <c r="E52" t="s">
        <v>1348</v>
      </c>
      <c r="F52">
        <v>3</v>
      </c>
    </row>
    <row r="53" spans="1:6" x14ac:dyDescent="0.25">
      <c r="A53">
        <v>16050</v>
      </c>
      <c r="B53" t="s">
        <v>0</v>
      </c>
      <c r="C53" s="444" t="s">
        <v>1396</v>
      </c>
      <c r="D53" t="s">
        <v>1118</v>
      </c>
      <c r="E53" t="s">
        <v>777</v>
      </c>
      <c r="F53">
        <v>2</v>
      </c>
    </row>
    <row r="54" spans="1:6" x14ac:dyDescent="0.25">
      <c r="A54">
        <v>16078</v>
      </c>
      <c r="B54" t="s">
        <v>1397</v>
      </c>
      <c r="C54" s="444" t="s">
        <v>1398</v>
      </c>
      <c r="D54" t="s">
        <v>1234</v>
      </c>
      <c r="E54" t="s">
        <v>1399</v>
      </c>
      <c r="F54">
        <v>2</v>
      </c>
    </row>
    <row r="55" spans="1:6" x14ac:dyDescent="0.25">
      <c r="A55">
        <v>16052</v>
      </c>
      <c r="B55" t="s">
        <v>1400</v>
      </c>
      <c r="C55" s="444" t="s">
        <v>1401</v>
      </c>
      <c r="D55" t="s">
        <v>1402</v>
      </c>
      <c r="F55">
        <v>3</v>
      </c>
    </row>
    <row r="56" spans="1:6" x14ac:dyDescent="0.25">
      <c r="A56">
        <v>16051</v>
      </c>
      <c r="B56" t="s">
        <v>1403</v>
      </c>
      <c r="C56" s="444" t="s">
        <v>1401</v>
      </c>
      <c r="D56" t="s">
        <v>1130</v>
      </c>
      <c r="E56" t="s">
        <v>680</v>
      </c>
      <c r="F56">
        <v>2</v>
      </c>
    </row>
    <row r="57" spans="1:6" x14ac:dyDescent="0.25">
      <c r="A57">
        <v>16053</v>
      </c>
      <c r="B57" t="s">
        <v>1404</v>
      </c>
      <c r="C57" s="444" t="s">
        <v>1401</v>
      </c>
      <c r="D57" t="s">
        <v>1115</v>
      </c>
      <c r="E57" t="s">
        <v>1176</v>
      </c>
      <c r="F57">
        <v>3</v>
      </c>
    </row>
    <row r="58" spans="1:6" x14ac:dyDescent="0.25">
      <c r="A58">
        <v>16054</v>
      </c>
      <c r="B58" t="s">
        <v>1247</v>
      </c>
      <c r="C58" s="444" t="s">
        <v>1405</v>
      </c>
      <c r="D58" t="s">
        <v>1345</v>
      </c>
      <c r="E58" t="s">
        <v>678</v>
      </c>
      <c r="F58">
        <v>3</v>
      </c>
    </row>
    <row r="59" spans="1:6" x14ac:dyDescent="0.25">
      <c r="A59">
        <v>16055</v>
      </c>
      <c r="B59" t="s">
        <v>1349</v>
      </c>
      <c r="C59" s="444" t="s">
        <v>1406</v>
      </c>
      <c r="F59">
        <v>0</v>
      </c>
    </row>
    <row r="60" spans="1:6" x14ac:dyDescent="0.25">
      <c r="A60">
        <v>16056</v>
      </c>
      <c r="B60" t="s">
        <v>1407</v>
      </c>
      <c r="C60" s="444" t="s">
        <v>1408</v>
      </c>
      <c r="D60" t="s">
        <v>1257</v>
      </c>
      <c r="E60" t="s">
        <v>1103</v>
      </c>
      <c r="F60">
        <v>3</v>
      </c>
    </row>
    <row r="61" spans="1:6" x14ac:dyDescent="0.25">
      <c r="A61">
        <v>16057</v>
      </c>
      <c r="B61" t="s">
        <v>1409</v>
      </c>
      <c r="C61" s="444" t="s">
        <v>1410</v>
      </c>
      <c r="D61" t="s">
        <v>1411</v>
      </c>
      <c r="F61">
        <v>3</v>
      </c>
    </row>
    <row r="62" spans="1:6" x14ac:dyDescent="0.25">
      <c r="A62">
        <v>16059</v>
      </c>
      <c r="B62" t="s">
        <v>1412</v>
      </c>
      <c r="C62" s="444" t="s">
        <v>1410</v>
      </c>
      <c r="D62" t="s">
        <v>1126</v>
      </c>
      <c r="E62" t="s">
        <v>696</v>
      </c>
      <c r="F62">
        <v>2</v>
      </c>
    </row>
    <row r="63" spans="1:6" x14ac:dyDescent="0.25">
      <c r="A63">
        <v>16058</v>
      </c>
      <c r="B63" t="s">
        <v>1251</v>
      </c>
      <c r="C63" s="444" t="s">
        <v>1410</v>
      </c>
      <c r="D63" t="s">
        <v>1118</v>
      </c>
      <c r="E63" t="s">
        <v>777</v>
      </c>
      <c r="F63">
        <v>2</v>
      </c>
    </row>
    <row r="64" spans="1:6" x14ac:dyDescent="0.25">
      <c r="A64">
        <v>16080</v>
      </c>
      <c r="B64" t="s">
        <v>1715</v>
      </c>
      <c r="C64" s="444" t="s">
        <v>1413</v>
      </c>
      <c r="D64" t="s">
        <v>1234</v>
      </c>
      <c r="E64" t="s">
        <v>1104</v>
      </c>
      <c r="F64">
        <v>2</v>
      </c>
    </row>
    <row r="65" spans="1:6" x14ac:dyDescent="0.25">
      <c r="A65">
        <v>16062</v>
      </c>
      <c r="B65" t="s">
        <v>4</v>
      </c>
      <c r="C65" s="444" t="s">
        <v>1413</v>
      </c>
      <c r="D65" t="s">
        <v>1241</v>
      </c>
      <c r="E65" t="s">
        <v>1333</v>
      </c>
      <c r="F65">
        <v>2</v>
      </c>
    </row>
    <row r="66" spans="1:6" x14ac:dyDescent="0.25">
      <c r="A66">
        <v>16060</v>
      </c>
      <c r="B66" t="s">
        <v>1414</v>
      </c>
      <c r="C66" s="444" t="s">
        <v>1413</v>
      </c>
      <c r="D66" t="s">
        <v>1326</v>
      </c>
      <c r="E66" t="s">
        <v>1123</v>
      </c>
      <c r="F66">
        <v>2</v>
      </c>
    </row>
    <row r="67" spans="1:6" x14ac:dyDescent="0.25">
      <c r="A67">
        <v>16061</v>
      </c>
      <c r="B67" t="s">
        <v>1415</v>
      </c>
      <c r="C67" s="444" t="s">
        <v>1413</v>
      </c>
      <c r="D67" t="s">
        <v>1326</v>
      </c>
      <c r="E67" t="s">
        <v>1123</v>
      </c>
      <c r="F67">
        <v>2</v>
      </c>
    </row>
    <row r="68" spans="1:6" x14ac:dyDescent="0.25">
      <c r="A68">
        <v>16063</v>
      </c>
      <c r="B68" t="s">
        <v>3</v>
      </c>
      <c r="C68" s="444" t="s">
        <v>1416</v>
      </c>
      <c r="D68" t="s">
        <v>1115</v>
      </c>
      <c r="E68" t="s">
        <v>1116</v>
      </c>
      <c r="F68">
        <v>2</v>
      </c>
    </row>
    <row r="69" spans="1:6" x14ac:dyDescent="0.25">
      <c r="A69">
        <v>16064</v>
      </c>
      <c r="B69" t="s">
        <v>1148</v>
      </c>
      <c r="C69" s="444" t="s">
        <v>1417</v>
      </c>
      <c r="D69" t="s">
        <v>1141</v>
      </c>
      <c r="E69" t="s">
        <v>1142</v>
      </c>
      <c r="F69">
        <v>3</v>
      </c>
    </row>
    <row r="70" spans="1:6" x14ac:dyDescent="0.25">
      <c r="A70">
        <v>16065</v>
      </c>
      <c r="B70" t="s">
        <v>1418</v>
      </c>
      <c r="C70" s="444" t="s">
        <v>1417</v>
      </c>
      <c r="D70" t="s">
        <v>1243</v>
      </c>
      <c r="E70" t="s">
        <v>1140</v>
      </c>
      <c r="F70">
        <v>3</v>
      </c>
    </row>
    <row r="71" spans="1:6" x14ac:dyDescent="0.25">
      <c r="A71">
        <v>16067</v>
      </c>
      <c r="B71" t="s">
        <v>1419</v>
      </c>
      <c r="C71" s="444" t="s">
        <v>1420</v>
      </c>
      <c r="D71" t="s">
        <v>1115</v>
      </c>
      <c r="E71" t="s">
        <v>1116</v>
      </c>
      <c r="F71">
        <v>2</v>
      </c>
    </row>
    <row r="72" spans="1:6" x14ac:dyDescent="0.25">
      <c r="A72">
        <v>16066</v>
      </c>
      <c r="B72" t="s">
        <v>1252</v>
      </c>
      <c r="C72" s="444" t="s">
        <v>1420</v>
      </c>
      <c r="D72" t="s">
        <v>1326</v>
      </c>
      <c r="E72" t="s">
        <v>1123</v>
      </c>
      <c r="F72">
        <v>3</v>
      </c>
    </row>
    <row r="73" spans="1:6" x14ac:dyDescent="0.25">
      <c r="A73">
        <v>16068</v>
      </c>
      <c r="B73" t="s">
        <v>1421</v>
      </c>
      <c r="C73" s="444" t="s">
        <v>1422</v>
      </c>
      <c r="D73" t="s">
        <v>1144</v>
      </c>
      <c r="E73" t="s">
        <v>1384</v>
      </c>
      <c r="F73">
        <v>0</v>
      </c>
    </row>
    <row r="74" spans="1:6" x14ac:dyDescent="0.25">
      <c r="A74">
        <v>16069</v>
      </c>
      <c r="B74" t="s">
        <v>7</v>
      </c>
      <c r="C74" s="444" t="s">
        <v>1423</v>
      </c>
      <c r="D74" t="s">
        <v>1121</v>
      </c>
      <c r="E74" t="s">
        <v>1122</v>
      </c>
      <c r="F74">
        <v>2</v>
      </c>
    </row>
    <row r="75" spans="1:6" x14ac:dyDescent="0.25">
      <c r="A75">
        <v>16070</v>
      </c>
      <c r="B75" t="s">
        <v>1424</v>
      </c>
      <c r="C75" s="444" t="s">
        <v>1423</v>
      </c>
      <c r="D75" t="s">
        <v>1130</v>
      </c>
      <c r="E75" t="s">
        <v>680</v>
      </c>
      <c r="F75">
        <v>2</v>
      </c>
    </row>
    <row r="76" spans="1:6" x14ac:dyDescent="0.25">
      <c r="A76">
        <v>16071</v>
      </c>
      <c r="B76" t="s">
        <v>1425</v>
      </c>
      <c r="C76" s="444" t="s">
        <v>1423</v>
      </c>
      <c r="D76" t="s">
        <v>1115</v>
      </c>
      <c r="E76" t="s">
        <v>1176</v>
      </c>
      <c r="F76">
        <v>3</v>
      </c>
    </row>
    <row r="77" spans="1:6" x14ac:dyDescent="0.25">
      <c r="A77">
        <v>16072</v>
      </c>
      <c r="B77" t="s">
        <v>1249</v>
      </c>
      <c r="C77" s="444" t="s">
        <v>1426</v>
      </c>
      <c r="D77" t="s">
        <v>1133</v>
      </c>
      <c r="E77" t="s">
        <v>1340</v>
      </c>
      <c r="F77">
        <v>2</v>
      </c>
    </row>
    <row r="78" spans="1:6" x14ac:dyDescent="0.25">
      <c r="A78">
        <v>16073</v>
      </c>
      <c r="B78" t="s">
        <v>1255</v>
      </c>
      <c r="C78" s="444" t="s">
        <v>1427</v>
      </c>
      <c r="D78" t="s">
        <v>1257</v>
      </c>
      <c r="E78" t="s">
        <v>1103</v>
      </c>
      <c r="F78">
        <v>2</v>
      </c>
    </row>
    <row r="79" spans="1:6" x14ac:dyDescent="0.25">
      <c r="A79">
        <v>16079</v>
      </c>
      <c r="B79" t="s">
        <v>1428</v>
      </c>
      <c r="C79" s="444" t="s">
        <v>1429</v>
      </c>
      <c r="D79" t="s">
        <v>1141</v>
      </c>
      <c r="E79" t="s">
        <v>1172</v>
      </c>
      <c r="F79">
        <v>2</v>
      </c>
    </row>
    <row r="80" spans="1:6" x14ac:dyDescent="0.25">
      <c r="A80">
        <v>16074</v>
      </c>
      <c r="B80" t="s">
        <v>1307</v>
      </c>
      <c r="C80" s="444" t="s">
        <v>1430</v>
      </c>
      <c r="D80" t="s">
        <v>1126</v>
      </c>
      <c r="E80" t="s">
        <v>696</v>
      </c>
      <c r="F80">
        <v>3</v>
      </c>
    </row>
    <row r="81" spans="1:6" x14ac:dyDescent="0.25">
      <c r="A81">
        <v>16075</v>
      </c>
      <c r="B81" t="s">
        <v>1305</v>
      </c>
      <c r="C81" s="444" t="s">
        <v>1431</v>
      </c>
      <c r="D81" t="s">
        <v>1326</v>
      </c>
      <c r="E81" t="s">
        <v>1123</v>
      </c>
      <c r="F81">
        <v>3</v>
      </c>
    </row>
    <row r="82" spans="1:6" x14ac:dyDescent="0.25">
      <c r="A82">
        <v>16076</v>
      </c>
      <c r="B82" t="s">
        <v>1432</v>
      </c>
      <c r="C82" s="444" t="s">
        <v>1433</v>
      </c>
      <c r="D82" t="s">
        <v>1234</v>
      </c>
      <c r="E82" t="s">
        <v>1104</v>
      </c>
      <c r="F82">
        <v>2</v>
      </c>
    </row>
    <row r="83" spans="1:6" x14ac:dyDescent="0.25">
      <c r="A83">
        <v>16077</v>
      </c>
      <c r="B83" t="s">
        <v>8</v>
      </c>
      <c r="C83" s="444" t="s">
        <v>1434</v>
      </c>
      <c r="D83" t="s">
        <v>1130</v>
      </c>
      <c r="E83" t="s">
        <v>680</v>
      </c>
      <c r="F83">
        <v>2</v>
      </c>
    </row>
    <row r="84" spans="1:6" x14ac:dyDescent="0.25">
      <c r="A84">
        <v>13067</v>
      </c>
      <c r="B84" t="s">
        <v>5</v>
      </c>
      <c r="C84" s="444" t="s">
        <v>1250</v>
      </c>
      <c r="D84" t="s">
        <v>1118</v>
      </c>
      <c r="E84" t="s">
        <v>1119</v>
      </c>
      <c r="F84">
        <v>2</v>
      </c>
    </row>
    <row r="85" spans="1:6" x14ac:dyDescent="0.25">
      <c r="A85">
        <v>13069</v>
      </c>
      <c r="B85" t="s">
        <v>1254</v>
      </c>
      <c r="C85" s="444" t="s">
        <v>1253</v>
      </c>
      <c r="D85" t="s">
        <v>1115</v>
      </c>
      <c r="E85" t="s">
        <v>1116</v>
      </c>
      <c r="F85">
        <v>2</v>
      </c>
    </row>
    <row r="86" spans="1:6" x14ac:dyDescent="0.25">
      <c r="A86">
        <v>13068</v>
      </c>
      <c r="B86" t="s">
        <v>1252</v>
      </c>
      <c r="C86" s="444" t="s">
        <v>1253</v>
      </c>
      <c r="D86" t="s">
        <v>1236</v>
      </c>
      <c r="E86" t="s">
        <v>1237</v>
      </c>
      <c r="F86">
        <v>3</v>
      </c>
    </row>
    <row r="87" spans="1:6" x14ac:dyDescent="0.25">
      <c r="A87">
        <v>13076</v>
      </c>
      <c r="B87" t="s">
        <v>1255</v>
      </c>
      <c r="C87" s="444" t="s">
        <v>1256</v>
      </c>
      <c r="D87" t="s">
        <v>1257</v>
      </c>
      <c r="E87" t="s">
        <v>1258</v>
      </c>
      <c r="F87">
        <v>2</v>
      </c>
    </row>
    <row r="88" spans="1:6" x14ac:dyDescent="0.25">
      <c r="A88">
        <v>13070</v>
      </c>
      <c r="B88" t="s">
        <v>7</v>
      </c>
      <c r="C88" s="444" t="s">
        <v>1259</v>
      </c>
      <c r="D88" t="s">
        <v>1121</v>
      </c>
      <c r="E88" t="s">
        <v>1122</v>
      </c>
      <c r="F88">
        <v>2</v>
      </c>
    </row>
    <row r="89" spans="1:6" x14ac:dyDescent="0.25">
      <c r="A89">
        <v>13071</v>
      </c>
      <c r="B89" t="s">
        <v>1260</v>
      </c>
      <c r="C89" s="444" t="s">
        <v>1261</v>
      </c>
      <c r="D89" t="s">
        <v>1126</v>
      </c>
      <c r="E89" t="s">
        <v>1238</v>
      </c>
      <c r="F89">
        <v>3</v>
      </c>
    </row>
    <row r="90" spans="1:6" x14ac:dyDescent="0.25">
      <c r="A90">
        <v>13072</v>
      </c>
      <c r="B90" t="s">
        <v>6</v>
      </c>
      <c r="C90" s="444" t="s">
        <v>1261</v>
      </c>
      <c r="D90" t="s">
        <v>1130</v>
      </c>
      <c r="E90" t="s">
        <v>680</v>
      </c>
      <c r="F90">
        <v>2</v>
      </c>
    </row>
    <row r="91" spans="1:6" x14ac:dyDescent="0.25">
      <c r="A91">
        <v>13073</v>
      </c>
      <c r="B91" t="s">
        <v>1262</v>
      </c>
      <c r="C91" s="444" t="s">
        <v>1263</v>
      </c>
      <c r="D91" t="s">
        <v>1236</v>
      </c>
      <c r="E91" t="s">
        <v>1237</v>
      </c>
      <c r="F91">
        <v>3</v>
      </c>
    </row>
    <row r="92" spans="1:6" x14ac:dyDescent="0.25">
      <c r="A92">
        <v>13074</v>
      </c>
      <c r="B92" t="s">
        <v>1264</v>
      </c>
      <c r="C92" s="444" t="s">
        <v>1265</v>
      </c>
      <c r="D92" t="s">
        <v>1234</v>
      </c>
      <c r="E92" t="s">
        <v>1128</v>
      </c>
      <c r="F92">
        <v>2</v>
      </c>
    </row>
    <row r="93" spans="1:6" x14ac:dyDescent="0.25">
      <c r="A93">
        <v>13075</v>
      </c>
      <c r="B93" t="s">
        <v>8</v>
      </c>
      <c r="C93" s="444" t="s">
        <v>1266</v>
      </c>
      <c r="D93" t="s">
        <v>1130</v>
      </c>
      <c r="E93" t="s">
        <v>680</v>
      </c>
      <c r="F93">
        <v>2</v>
      </c>
    </row>
    <row r="94" spans="1:6" x14ac:dyDescent="0.25">
      <c r="A94">
        <v>13075</v>
      </c>
      <c r="B94" t="s">
        <v>8</v>
      </c>
      <c r="C94" s="444" t="s">
        <v>1266</v>
      </c>
      <c r="D94" t="s">
        <v>1130</v>
      </c>
      <c r="E94" t="s">
        <v>680</v>
      </c>
      <c r="F94">
        <v>2</v>
      </c>
    </row>
    <row r="95" spans="1:6" x14ac:dyDescent="0.25">
      <c r="A95">
        <v>11102</v>
      </c>
      <c r="B95" t="s">
        <v>6</v>
      </c>
      <c r="C95" s="444" t="s">
        <v>1292</v>
      </c>
      <c r="D95" t="s">
        <v>1293</v>
      </c>
      <c r="E95" t="s">
        <v>1294</v>
      </c>
      <c r="F95">
        <v>2</v>
      </c>
    </row>
    <row r="96" spans="1:6" x14ac:dyDescent="0.25">
      <c r="A96">
        <v>11097</v>
      </c>
      <c r="B96" t="s">
        <v>1244</v>
      </c>
      <c r="C96" s="444" t="s">
        <v>1295</v>
      </c>
      <c r="D96" t="s">
        <v>1118</v>
      </c>
      <c r="E96" t="s">
        <v>118</v>
      </c>
      <c r="F96">
        <v>1</v>
      </c>
    </row>
    <row r="97" spans="1:6" x14ac:dyDescent="0.25">
      <c r="A97">
        <v>11098</v>
      </c>
      <c r="B97" t="s">
        <v>1296</v>
      </c>
      <c r="C97" s="444" t="s">
        <v>1297</v>
      </c>
      <c r="D97" t="s">
        <v>1118</v>
      </c>
      <c r="E97" t="s">
        <v>118</v>
      </c>
      <c r="F97">
        <v>1</v>
      </c>
    </row>
    <row r="98" spans="1:6" x14ac:dyDescent="0.25">
      <c r="A98">
        <v>11099</v>
      </c>
      <c r="B98" t="s">
        <v>1298</v>
      </c>
      <c r="C98" s="444" t="s">
        <v>1299</v>
      </c>
      <c r="D98" t="s">
        <v>1118</v>
      </c>
      <c r="E98" t="s">
        <v>118</v>
      </c>
      <c r="F98">
        <v>2</v>
      </c>
    </row>
    <row r="99" spans="1:6" x14ac:dyDescent="0.25">
      <c r="A99">
        <v>11100</v>
      </c>
      <c r="B99" t="s">
        <v>1300</v>
      </c>
      <c r="C99" s="444" t="s">
        <v>1299</v>
      </c>
      <c r="D99" t="s">
        <v>1118</v>
      </c>
      <c r="E99" t="s">
        <v>118</v>
      </c>
      <c r="F99">
        <v>2</v>
      </c>
    </row>
    <row r="100" spans="1:6" x14ac:dyDescent="0.25">
      <c r="A100">
        <v>11101</v>
      </c>
      <c r="B100" t="s">
        <v>1301</v>
      </c>
      <c r="C100" s="444" t="s">
        <v>1299</v>
      </c>
      <c r="D100" t="s">
        <v>1302</v>
      </c>
      <c r="E100" t="s">
        <v>1303</v>
      </c>
      <c r="F100">
        <v>2</v>
      </c>
    </row>
    <row r="101" spans="1:6" x14ac:dyDescent="0.25">
      <c r="A101">
        <v>11103</v>
      </c>
      <c r="B101" t="s">
        <v>6</v>
      </c>
      <c r="C101" s="444" t="s">
        <v>1304</v>
      </c>
      <c r="D101" t="s">
        <v>1130</v>
      </c>
      <c r="E101" t="s">
        <v>680</v>
      </c>
      <c r="F101">
        <v>2</v>
      </c>
    </row>
    <row r="102" spans="1:6" x14ac:dyDescent="0.25">
      <c r="A102">
        <v>11104</v>
      </c>
      <c r="B102" t="s">
        <v>1305</v>
      </c>
      <c r="C102" s="444" t="s">
        <v>1304</v>
      </c>
      <c r="D102" t="s">
        <v>1306</v>
      </c>
      <c r="E102" t="s">
        <v>1123</v>
      </c>
      <c r="F102">
        <v>3</v>
      </c>
    </row>
    <row r="103" spans="1:6" x14ac:dyDescent="0.25">
      <c r="A103">
        <v>11105</v>
      </c>
      <c r="B103" t="s">
        <v>1307</v>
      </c>
      <c r="C103" s="444" t="s">
        <v>1308</v>
      </c>
      <c r="D103" t="s">
        <v>1309</v>
      </c>
      <c r="E103" t="s">
        <v>696</v>
      </c>
      <c r="F103">
        <v>3</v>
      </c>
    </row>
    <row r="104" spans="1:6" x14ac:dyDescent="0.25">
      <c r="A104">
        <v>11106</v>
      </c>
      <c r="B104" t="s">
        <v>1264</v>
      </c>
      <c r="C104" s="444" t="s">
        <v>1310</v>
      </c>
      <c r="D104" t="s">
        <v>1311</v>
      </c>
      <c r="E104" t="s">
        <v>1128</v>
      </c>
      <c r="F104">
        <v>2</v>
      </c>
    </row>
    <row r="105" spans="1:6" x14ac:dyDescent="0.25">
      <c r="A105">
        <v>11107</v>
      </c>
      <c r="B105" t="s">
        <v>8</v>
      </c>
      <c r="C105" s="444" t="s">
        <v>1312</v>
      </c>
      <c r="D105" t="s">
        <v>1130</v>
      </c>
      <c r="E105" t="s">
        <v>680</v>
      </c>
      <c r="F105">
        <v>2</v>
      </c>
    </row>
    <row r="106" spans="1:6" x14ac:dyDescent="0.25">
      <c r="C106" s="444"/>
    </row>
    <row r="107" spans="1:6" x14ac:dyDescent="0.25">
      <c r="C107" s="444"/>
    </row>
    <row r="108" spans="1:6" x14ac:dyDescent="0.25">
      <c r="C108" s="444"/>
    </row>
    <row r="109" spans="1:6" x14ac:dyDescent="0.25">
      <c r="C109" s="444"/>
    </row>
    <row r="110" spans="1:6" x14ac:dyDescent="0.25">
      <c r="C110" s="444"/>
    </row>
    <row r="111" spans="1:6" x14ac:dyDescent="0.25">
      <c r="C111" s="444"/>
    </row>
    <row r="112" spans="1:6" x14ac:dyDescent="0.25">
      <c r="C112" s="444"/>
    </row>
    <row r="113" spans="3:3" x14ac:dyDescent="0.25">
      <c r="C113" s="444"/>
    </row>
    <row r="114" spans="3:3" x14ac:dyDescent="0.25">
      <c r="C114" s="444"/>
    </row>
    <row r="115" spans="3:3" x14ac:dyDescent="0.25">
      <c r="C115" s="444"/>
    </row>
    <row r="116" spans="3:3" x14ac:dyDescent="0.25">
      <c r="C116" s="444"/>
    </row>
    <row r="117" spans="3:3" x14ac:dyDescent="0.25">
      <c r="C117" s="444"/>
    </row>
    <row r="118" spans="3:3" x14ac:dyDescent="0.25">
      <c r="C118" s="444"/>
    </row>
    <row r="119" spans="3:3" x14ac:dyDescent="0.25">
      <c r="C119" s="444"/>
    </row>
    <row r="120" spans="3:3" x14ac:dyDescent="0.25">
      <c r="C120" s="444"/>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1055</v>
      </c>
      <c r="E2" s="15"/>
      <c r="F2" s="15"/>
      <c r="G2" s="190">
        <v>16</v>
      </c>
      <c r="H2" s="132" t="s">
        <v>1055</v>
      </c>
      <c r="I2" s="15"/>
      <c r="J2" s="16"/>
      <c r="K2" s="190">
        <v>8</v>
      </c>
      <c r="L2" s="132" t="s">
        <v>1055</v>
      </c>
      <c r="M2" s="15"/>
      <c r="N2" s="16"/>
      <c r="O2" s="190">
        <v>4</v>
      </c>
      <c r="P2" s="132" t="s">
        <v>1065</v>
      </c>
      <c r="Q2" s="16"/>
      <c r="R2" s="16"/>
      <c r="S2" s="190">
        <v>2</v>
      </c>
      <c r="T2" s="132" t="s">
        <v>1063</v>
      </c>
      <c r="U2" s="16"/>
      <c r="V2" s="16"/>
      <c r="W2" s="190">
        <v>1</v>
      </c>
      <c r="X2" s="149" t="s">
        <v>1064</v>
      </c>
      <c r="Y2" s="16"/>
      <c r="Z2" s="16"/>
      <c r="AA2" s="16"/>
      <c r="AB2" s="16"/>
      <c r="AC2" s="16"/>
      <c r="AD2" s="16"/>
      <c r="AE2" s="16"/>
      <c r="AF2" s="16"/>
      <c r="AG2" s="16"/>
    </row>
    <row r="3" spans="1:34" ht="28.9" customHeight="1" thickBot="1" x14ac:dyDescent="0.35">
      <c r="A3" s="28"/>
      <c r="B3" s="31"/>
      <c r="C3" s="216"/>
      <c r="D3" s="307" t="s">
        <v>966</v>
      </c>
      <c r="E3" s="308"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6</v>
      </c>
      <c r="B4" s="150"/>
      <c r="C4" s="79">
        <v>1</v>
      </c>
      <c r="D4" s="257" t="str">
        <f ca="1">VLOOKUP(C4,Postupy!$A$3:$BG$34,59,0)</f>
        <v>6 SK Sahara Vědomice - Demčíková Jiřina</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7" t="s">
        <v>966</v>
      </c>
      <c r="I5" s="308">
        <f ca="1">IF(OR(TRIM(H6)="-",TRIM(H7)="-"),"",VLOOKUP(MIN(G6,G7),Hřiště!$B$11:$E$42,4,0))</f>
        <v>4</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6 SK Sahara Vědomice - Demčíková Jiřina</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7" t="s">
        <v>966</v>
      </c>
      <c r="E7" s="308" t="str">
        <f ca="1">IF(OR(TRIM(D8)="-",TRIM(D9)="-"),"",VLOOKUP(MIN(C8,C9),Hřiště!$B$11:$E$42,4,0))</f>
        <v/>
      </c>
      <c r="F7" s="160"/>
      <c r="G7" s="81">
        <v>16</v>
      </c>
      <c r="H7" s="82" t="str">
        <f ca="1">IF(OR(TRIM(D8)="-",TRIM(D9)="-"), IF(TRIM(D8)="-",D9,D8),IF(AND(E8="",E9="")," ",IF(N(E8)=N(E9)," ",IF(N(E8)&gt;N(E9),D8,D9))))</f>
        <v>35 Spolek Park Grébovka - Nepomucký Jaroslav</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f ca="1">VLOOKUP(C9,Postupy!$A$3:$C$34,3,0)</f>
        <v>35</v>
      </c>
      <c r="B9" s="150"/>
      <c r="C9" s="81">
        <v>16</v>
      </c>
      <c r="D9" s="257" t="str">
        <f ca="1">VLOOKUP(C9,Postupy!$A$3:$BG$34,59,0)</f>
        <v>35 Spolek Park Grébovka - Nepomucký Jaroslav</v>
      </c>
      <c r="E9" s="130" t="str">
        <f>IF(VLOOKUP(C9,Postupy!$A$3:$BH$34,60,0)=0,"",VLOOKUP(C9,Postupy!$A$3:$BH$34,60,0))</f>
        <v/>
      </c>
      <c r="F9" s="153"/>
      <c r="G9" s="152"/>
      <c r="H9" s="169"/>
      <c r="I9" s="161"/>
      <c r="J9" s="161"/>
      <c r="K9" s="155"/>
      <c r="L9" s="307" t="s">
        <v>966</v>
      </c>
      <c r="M9" s="308">
        <f ca="1">IF(OR(TRIM(L10)="-",TRIM(L11)="-"),"",VLOOKUP(MIN(K10,K11),Hřiště!$B$11:$E$42,4,0))</f>
        <v>4</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7" t="s">
        <v>966</v>
      </c>
      <c r="E11" s="308" t="str">
        <f ca="1">IF(OR(TRIM(D12)="-",TRIM(D13)="-"),"",VLOOKUP(MIN(C12,C13),Hřiště!$B$11:$E$42,4,0))</f>
        <v/>
      </c>
      <c r="F11" s="152"/>
      <c r="G11" s="152"/>
      <c r="H11" s="172"/>
      <c r="I11" s="152"/>
      <c r="J11" s="152"/>
      <c r="K11" s="81">
        <v>8</v>
      </c>
      <c r="L11" s="82" t="str">
        <f ca="1">IF(OR(TRIM(H14)="-",TRIM(H15)="-"), IF(TRIM(H14)="-",H15,H14),IF(AND(I14="",I15="")," ",IF(N(I14)=N(I15)," ",IF(N(I14)&gt;N(I15),H14,H15))))</f>
        <v xml:space="preserve"> </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f ca="1">VLOOKUP(C12,Postupy!$A$3:$C$34,3,0)</f>
        <v>7</v>
      </c>
      <c r="B12" s="150"/>
      <c r="C12" s="79">
        <v>9</v>
      </c>
      <c r="D12" s="257" t="str">
        <f ca="1">VLOOKUP(C12,Postupy!$A$3:$BG$34,59,0)</f>
        <v>7 PC Kolová - Kacerovský Ivo</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1054</v>
      </c>
      <c r="G13" s="155"/>
      <c r="H13" s="307" t="s">
        <v>966</v>
      </c>
      <c r="I13" s="308">
        <f ca="1">IF(OR(TRIM(H14)="-",TRIM(H15)="-"),"",VLOOKUP(MIN(G14,G15),Hřiště!$B$11:$E$42,4,0))</f>
        <v>8</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7 PC Kolová - Kacerovský Ivo</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7" t="s">
        <v>966</v>
      </c>
      <c r="E15" s="308" t="str">
        <f ca="1">IF(OR(TRIM(D16)="-",TRIM(D17)="-"),"",VLOOKUP(MIN(C16,C17),Hřiště!$B$11:$E$42,4,0))</f>
        <v/>
      </c>
      <c r="F15" s="171"/>
      <c r="G15" s="81">
        <v>8</v>
      </c>
      <c r="H15" s="82" t="str">
        <f ca="1">IF(OR(TRIM(D16)="-",TRIM(D17)="-"), IF(TRIM(D16)="-",D17,D16),IF(AND(E16="",E17="")," ",IF(N(E16)=N(E17)," ",IF(N(E16)&gt;N(E17),D16,D17))))</f>
        <v>9 PK Osika Plzeň - Mráz Václav</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9</v>
      </c>
      <c r="B17" s="150"/>
      <c r="C17" s="81">
        <v>8</v>
      </c>
      <c r="D17" s="257" t="str">
        <f ca="1">VLOOKUP(C17,Postupy!$A$3:$BG$34,59,0)</f>
        <v>9 PK Osika Plzeň - Mráz Václav</v>
      </c>
      <c r="E17" s="130" t="str">
        <f>IF(VLOOKUP(C17,Postupy!$A$3:$BH$34,60,0)=0,"",VLOOKUP(C17,Postupy!$A$3:$BH$34,60,0))</f>
        <v/>
      </c>
      <c r="F17" s="177"/>
      <c r="G17" s="152"/>
      <c r="H17" s="169"/>
      <c r="I17" s="152"/>
      <c r="J17" s="152"/>
      <c r="K17" s="152"/>
      <c r="L17" s="178"/>
      <c r="M17" s="161"/>
      <c r="N17" s="161"/>
      <c r="O17" s="155"/>
      <c r="P17" s="307" t="s">
        <v>966</v>
      </c>
      <c r="Q17" s="308">
        <f ca="1">IF(OR(TRIM(P18)="-",TRIM(P19)="-"),"",VLOOKUP(MIN(O18,O19),Hřiště!$B$11:$E$42,4,0))</f>
        <v>4</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7" t="s">
        <v>966</v>
      </c>
      <c r="E19" s="308"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45</v>
      </c>
      <c r="B20" s="150"/>
      <c r="C20" s="79">
        <v>5</v>
      </c>
      <c r="D20" s="257" t="str">
        <f ca="1">VLOOKUP(C20,Postupy!$A$3:$BG$34,59,0)</f>
        <v>45 Spolek Park Grébovka - Kremlík Miroslav</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7" t="s">
        <v>966</v>
      </c>
      <c r="I21" s="308">
        <f ca="1">IF(OR(TRIM(H22)="-",TRIM(H23)="-"),"",VLOOKUP(MIN(G22,G23),Hřiště!$B$11:$E$42,4,0))</f>
        <v>3</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45 Spolek Park Grébovka - Kremlík Miroslav</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7" t="s">
        <v>966</v>
      </c>
      <c r="E23" s="308" t="str">
        <f ca="1">IF(OR(TRIM(D24)="-",TRIM(D25)="-"),"",VLOOKUP(MIN(C24,C25),Hřiště!$B$11:$E$42,4,0))</f>
        <v/>
      </c>
      <c r="F23" s="160"/>
      <c r="G23" s="81">
        <v>12</v>
      </c>
      <c r="H23" s="82" t="str">
        <f ca="1">IF(OR(TRIM(D24)="-",TRIM(D25)="-"), IF(TRIM(D24)="-",D25,D24),IF(AND(E24="",E25="")," ",IF(N(E24)=N(E25)," ",IF(N(E24)&gt;N(E25),D24,D25))))</f>
        <v>3 Petank Club Praha - Klír Tomáš</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f ca="1">VLOOKUP(C25,Postupy!$A$3:$C$34,3,0)</f>
        <v>3</v>
      </c>
      <c r="B25" s="150"/>
      <c r="C25" s="81">
        <v>12</v>
      </c>
      <c r="D25" s="257" t="str">
        <f ca="1">VLOOKUP(C25,Postupy!$A$3:$BG$34,59,0)</f>
        <v>3 Petank Club Praha - Klír Tomáš</v>
      </c>
      <c r="E25" s="130" t="str">
        <f>IF(VLOOKUP(C25,Postupy!$A$3:$BH$34,60,0)=0,"",VLOOKUP(C25,Postupy!$A$3:$BH$34,60,0))</f>
        <v/>
      </c>
      <c r="F25" s="153"/>
      <c r="G25" s="152"/>
      <c r="H25" s="169"/>
      <c r="I25" s="161"/>
      <c r="J25" s="161"/>
      <c r="K25" s="155"/>
      <c r="L25" s="307" t="s">
        <v>966</v>
      </c>
      <c r="M25" s="308">
        <f ca="1">IF(OR(TRIM(L26)="-",TRIM(L27)="-"),"",VLOOKUP(MIN(K26,K27),Hřiště!$B$11:$E$42,4,0))</f>
        <v>6</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7" t="s">
        <v>966</v>
      </c>
      <c r="E27" s="308" t="str">
        <f ca="1">IF(OR(TRIM(D28)="-",TRIM(D29)="-"),"",VLOOKUP(MIN(C28,C29),Hřiště!$B$11:$E$42,4,0))</f>
        <v/>
      </c>
      <c r="F27" s="152"/>
      <c r="G27" s="152"/>
      <c r="H27" s="172"/>
      <c r="I27" s="152"/>
      <c r="J27" s="152"/>
      <c r="K27" s="81">
        <v>4</v>
      </c>
      <c r="L27" s="82" t="str">
        <f ca="1">IF(OR(TRIM(H30)="-",TRIM(H31)="-"), IF(TRIM(H30)="-",H31,H30),IF(AND(I30="",I31="")," ",IF(N(I30)=N(I31)," ",IF(N(I30)&gt;N(I31),H30,H31))))</f>
        <v xml:space="preserve">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f ca="1">VLOOKUP(C28,Postupy!$A$3:$C$34,3,0)</f>
        <v>16</v>
      </c>
      <c r="B28" s="150"/>
      <c r="C28" s="79">
        <v>13</v>
      </c>
      <c r="D28" s="257" t="str">
        <f ca="1">VLOOKUP(C28,Postupy!$A$3:$BG$34,59,0)</f>
        <v>16 FRAPECO - Felčárek Jaroslav</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1054</v>
      </c>
      <c r="G29" s="155"/>
      <c r="H29" s="307" t="s">
        <v>966</v>
      </c>
      <c r="I29" s="308">
        <f ca="1">IF(OR(TRIM(H30)="-",TRIM(H31)="-"),"",VLOOKUP(MIN(G30,G31),Hřiště!$B$11:$E$42,4,0))</f>
        <v>6</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16 FRAPECO - Felčárek Jaroslav</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7" t="s">
        <v>966</v>
      </c>
      <c r="E31" s="308" t="str">
        <f ca="1">IF(OR(TRIM(D32)="-",TRIM(D33)="-"),"",VLOOKUP(MIN(C32,C33),Hřiště!$B$11:$E$42,4,0))</f>
        <v/>
      </c>
      <c r="F31" s="171"/>
      <c r="G31" s="81">
        <v>4</v>
      </c>
      <c r="H31" s="82" t="str">
        <f ca="1">IF(OR(TRIM(D32)="-",TRIM(D33)="-"), IF(TRIM(D32)="-",D33,D32),IF(AND(E32="",E33="")," ",IF(N(E32)=N(E33)," ",IF(N(E32)&gt;N(E33),D32,D33))))</f>
        <v>19 Petank Club Praha - Vorel Jan</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1063</v>
      </c>
      <c r="U32" s="161"/>
      <c r="V32" s="152"/>
      <c r="W32" s="161"/>
      <c r="X32" s="33"/>
      <c r="Y32" s="16"/>
      <c r="Z32" s="16"/>
      <c r="AA32" s="16"/>
      <c r="AB32" s="16"/>
      <c r="AC32" s="16"/>
      <c r="AD32" s="16"/>
      <c r="AE32" s="16"/>
      <c r="AF32" s="16"/>
      <c r="AG32" s="16"/>
    </row>
    <row r="33" spans="1:33" ht="20.25" thickTop="1" thickBot="1" x14ac:dyDescent="0.35">
      <c r="A33" s="87">
        <f ca="1">VLOOKUP(C33,Postupy!$A$3:$C$34,3,0)</f>
        <v>19</v>
      </c>
      <c r="B33" s="150"/>
      <c r="C33" s="81">
        <v>4</v>
      </c>
      <c r="D33" s="257" t="str">
        <f ca="1">VLOOKUP(C33,Postupy!$A$3:$BG$34,59,0)</f>
        <v>19 Petank Club Praha - Vorel Jan</v>
      </c>
      <c r="E33" s="130" t="str">
        <f>IF(VLOOKUP(C33,Postupy!$A$3:$BH$34,60,0)=0,"",VLOOKUP(C33,Postupy!$A$3:$BH$34,60,0))</f>
        <v/>
      </c>
      <c r="F33" s="177"/>
      <c r="G33" s="152"/>
      <c r="H33" s="169"/>
      <c r="I33" s="152"/>
      <c r="J33" s="152"/>
      <c r="K33" s="152"/>
      <c r="L33" s="178"/>
      <c r="M33" s="152"/>
      <c r="N33" s="152"/>
      <c r="O33" s="152"/>
      <c r="P33" s="179"/>
      <c r="Q33" s="161"/>
      <c r="R33" s="161"/>
      <c r="S33" s="180"/>
      <c r="T33" s="307" t="s">
        <v>966</v>
      </c>
      <c r="U33" s="308">
        <f ca="1">IF(OR(TRIM(T34)="-",TRIM(T35)="-"),"",VLOOKUP(MIN(S34,S35),Hřiště!$B$11:$E$42,4,0))</f>
        <v>4</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7" t="s">
        <v>966</v>
      </c>
      <c r="E35" s="308"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11</v>
      </c>
      <c r="B36" s="150"/>
      <c r="C36" s="79">
        <v>3</v>
      </c>
      <c r="D36" s="257" t="str">
        <f ca="1">VLOOKUP(C36,Postupy!$A$3:$BG$34,59,0)</f>
        <v>11 PC Sokol Lipník - Froňková Blanka</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7" t="s">
        <v>966</v>
      </c>
      <c r="I37" s="308">
        <f ca="1">IF(OR(TRIM(H38)="-",TRIM(H39)="-"),"",VLOOKUP(MIN(G38,G39),Hřiště!$B$11:$E$42,4,0))</f>
        <v>2</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11 PC Sokol Lipník - Froňková Blanka</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7" t="s">
        <v>966</v>
      </c>
      <c r="E39" s="308" t="str">
        <f ca="1">IF(OR(TRIM(D40)="-",TRIM(D41)="-"),"",VLOOKUP(MIN(C40,C41),Hřiště!$B$11:$E$42,4,0))</f>
        <v/>
      </c>
      <c r="F39" s="160"/>
      <c r="G39" s="81">
        <v>14</v>
      </c>
      <c r="H39" s="82" t="str">
        <f ca="1">IF(OR(TRIM(D40)="-",TRIM(D41)="-"), IF(TRIM(D40)="-",D41,D40),IF(AND(E40="",E41="")," ",IF(N(E40)=N(E41)," ",IF(N(E40)&gt;N(E41),D40,D41))))</f>
        <v>10 PC Kolová - Plucar Petr</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f ca="1">VLOOKUP(C41,Postupy!$A$3:$C$34,3,0)</f>
        <v>10</v>
      </c>
      <c r="B41" s="150"/>
      <c r="C41" s="81">
        <v>14</v>
      </c>
      <c r="D41" s="257" t="str">
        <f ca="1">VLOOKUP(C41,Postupy!$A$3:$BG$34,59,0)</f>
        <v>10 PC Kolová - Plucar Petr</v>
      </c>
      <c r="E41" s="130" t="str">
        <f>IF(VLOOKUP(C41,Postupy!$A$3:$BH$34,60,0)=0,"",VLOOKUP(C41,Postupy!$A$3:$BH$34,60,0))</f>
        <v/>
      </c>
      <c r="F41" s="153"/>
      <c r="G41" s="152"/>
      <c r="H41" s="169"/>
      <c r="I41" s="161"/>
      <c r="J41" s="161"/>
      <c r="K41" s="155"/>
      <c r="L41" s="307" t="s">
        <v>966</v>
      </c>
      <c r="M41" s="308">
        <f ca="1">IF(OR(TRIM(L42)="-",TRIM(L43)="-"),"",VLOOKUP(MIN(K42,K43),Hřiště!$B$11:$E$42,4,0))</f>
        <v>2</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7" t="s">
        <v>966</v>
      </c>
      <c r="E43" s="308" t="str">
        <f ca="1">IF(OR(TRIM(D44)="-",TRIM(D45)="-"),"",VLOOKUP(MIN(C44,C45),Hřiště!$B$11:$E$42,4,0))</f>
        <v/>
      </c>
      <c r="F43" s="152"/>
      <c r="G43" s="152"/>
      <c r="H43" s="172"/>
      <c r="I43" s="152"/>
      <c r="J43" s="152"/>
      <c r="K43" s="81">
        <v>6</v>
      </c>
      <c r="L43" s="82" t="str">
        <f ca="1">IF(OR(TRIM(H46)="-",TRIM(H47)="-"), IF(TRIM(H46)="-",H47,H46),IF(AND(I46="",I47="")," ",IF(N(I46)=N(I47)," ",IF(N(I46)&gt;N(I47),H46,H47))))</f>
        <v xml:space="preserve"> </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f ca="1">VLOOKUP(C44,Postupy!$A$3:$C$34,3,0)</f>
        <v>1</v>
      </c>
      <c r="B44" s="150"/>
      <c r="C44" s="79">
        <v>11</v>
      </c>
      <c r="D44" s="257" t="str">
        <f ca="1">VLOOKUP(C44,Postupy!$A$3:$BG$34,59,0)</f>
        <v>1 PC Sokol Lipník - Morávek Petr</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1054</v>
      </c>
      <c r="G45" s="155"/>
      <c r="H45" s="307" t="s">
        <v>966</v>
      </c>
      <c r="I45" s="308">
        <f ca="1">IF(OR(TRIM(H46)="-",TRIM(H47)="-"),"",VLOOKUP(MIN(G46,G47),Hřiště!$B$11:$E$42,4,0))</f>
        <v>1</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1 PC Sokol Lipník - Morávek Petr</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7" t="s">
        <v>966</v>
      </c>
      <c r="E47" s="308" t="str">
        <f ca="1">IF(OR(TRIM(D48)="-",TRIM(D49)="-"),"",VLOOKUP(MIN(C48,C49),Hřiště!$B$11:$E$42,4,0))</f>
        <v/>
      </c>
      <c r="F47" s="171"/>
      <c r="G47" s="81">
        <v>6</v>
      </c>
      <c r="H47" s="82" t="str">
        <f ca="1">IF(OR(TRIM(D48)="-",TRIM(D49)="-"), IF(TRIM(D48)="-",D49,D48),IF(AND(E48="",E49="")," ",IF(N(E48)=N(E49)," ",IF(N(E48)&gt;N(E49),D48,D49))))</f>
        <v>22 UBU Únětice - Palas Pavel</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22</v>
      </c>
      <c r="B49" s="150"/>
      <c r="C49" s="81">
        <v>6</v>
      </c>
      <c r="D49" s="257" t="str">
        <f ca="1">VLOOKUP(C49,Postupy!$A$3:$BG$34,59,0)</f>
        <v>22 UBU Únětice - Palas Pavel</v>
      </c>
      <c r="E49" s="130" t="str">
        <f>IF(VLOOKUP(C49,Postupy!$A$3:$BH$34,60,0)=0,"",VLOOKUP(C49,Postupy!$A$3:$BH$34,60,0))</f>
        <v/>
      </c>
      <c r="F49" s="177"/>
      <c r="G49" s="152"/>
      <c r="H49" s="169"/>
      <c r="I49" s="152"/>
      <c r="J49" s="152"/>
      <c r="K49" s="152"/>
      <c r="L49" s="178"/>
      <c r="M49" s="161"/>
      <c r="N49" s="161"/>
      <c r="O49" s="164"/>
      <c r="P49" s="307" t="s">
        <v>966</v>
      </c>
      <c r="Q49" s="308">
        <f ca="1">IF(OR(TRIM(P50)="-",TRIM(P51)="-"),"",VLOOKUP(MIN(O50,O51),Hřiště!$B$11:$E$42,4,0))</f>
        <v>5</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7" t="s">
        <v>966</v>
      </c>
      <c r="E51" s="308"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43</v>
      </c>
      <c r="B52" s="150"/>
      <c r="C52" s="79">
        <v>7</v>
      </c>
      <c r="D52" s="257" t="str">
        <f ca="1">VLOOKUP(C52,Postupy!$A$3:$BG$34,59,0)</f>
        <v>43 SK Španielka Řepy - Holoubek Pavel</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7" t="s">
        <v>966</v>
      </c>
      <c r="I53" s="308">
        <f ca="1">IF(OR(TRIM(H54)="-",TRIM(H55)="-"),"",VLOOKUP(MIN(G54,G55),Hřiště!$B$11:$E$42,4,0))</f>
        <v>7</v>
      </c>
      <c r="J53" s="152"/>
      <c r="K53" s="152"/>
      <c r="L53" s="179"/>
      <c r="M53" s="161"/>
      <c r="N53" s="160"/>
      <c r="O53" s="40"/>
      <c r="P53" s="157"/>
      <c r="Q53" s="40"/>
      <c r="R53" s="152"/>
      <c r="S53" s="152"/>
      <c r="T53" s="213" t="s">
        <v>1066</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43 SK Španielka Řepy - Holoubek Pavel</v>
      </c>
      <c r="I54" s="130" t="str">
        <f>IF(VLOOKUP(G54,Postupy!$A$3:$BJ$18,62,0)=0,"",VLOOKUP(G54,Postupy!$A$3:$BJ$18,62,0))</f>
        <v/>
      </c>
      <c r="J54" s="151"/>
      <c r="K54" s="152"/>
      <c r="L54" s="179"/>
      <c r="M54" s="161"/>
      <c r="N54" s="160"/>
      <c r="O54" s="40"/>
      <c r="P54" s="157"/>
      <c r="Q54" s="40"/>
      <c r="R54" s="152"/>
      <c r="S54" s="152"/>
      <c r="T54" s="214" t="s">
        <v>1067</v>
      </c>
      <c r="U54" s="152"/>
      <c r="V54" s="152"/>
      <c r="W54" s="152"/>
      <c r="X54" s="16"/>
      <c r="Y54" s="16"/>
      <c r="Z54" s="16"/>
      <c r="AA54" s="16"/>
      <c r="AB54" s="16"/>
      <c r="AC54" s="16"/>
      <c r="AD54" s="16"/>
      <c r="AE54" s="16"/>
      <c r="AF54" s="16"/>
      <c r="AG54" s="16"/>
    </row>
    <row r="55" spans="1:33" ht="20.25" thickTop="1" thickBot="1" x14ac:dyDescent="0.35">
      <c r="A55" s="76"/>
      <c r="B55" s="162"/>
      <c r="C55" s="163"/>
      <c r="D55" s="307" t="s">
        <v>966</v>
      </c>
      <c r="E55" s="308" t="str">
        <f ca="1">IF(OR(TRIM(D56)="-",TRIM(D57)="-"),"",VLOOKUP(MIN(C56,C57),Hřiště!$B$11:$E$42,4,0))</f>
        <v/>
      </c>
      <c r="F55" s="160"/>
      <c r="G55" s="81">
        <v>10</v>
      </c>
      <c r="H55" s="82" t="str">
        <f ca="1">IF(OR(TRIM(D56)="-",TRIM(D57)="-"), IF(TRIM(D56)="-",D57,D56),IF(AND(E56="",E57="")," ",IF(N(E56)=N(E57)," ",IF(N(E56)&gt;N(E57),D56,D57))))</f>
        <v>20 Club Rodamiento - Dlouhá Ivana</v>
      </c>
      <c r="I55" s="130" t="str">
        <f>IF(VLOOKUP(G55,Postupy!$A$3:$BJ$18,62,0)=0,"",VLOOKUP(G55,Postupy!$A$3:$BJ$18,62,0))</f>
        <v/>
      </c>
      <c r="J55" s="154"/>
      <c r="K55" s="164"/>
      <c r="L55" s="179"/>
      <c r="M55" s="161"/>
      <c r="N55" s="160"/>
      <c r="O55" s="40"/>
      <c r="P55" s="157"/>
      <c r="Q55" s="40"/>
      <c r="R55" s="152"/>
      <c r="S55" s="152"/>
      <c r="T55" s="307" t="s">
        <v>966</v>
      </c>
      <c r="U55" s="308">
        <f ca="1">IF(OR(TRIM(T56)="-",TRIM(T57)="-"),"",VLOOKUP(MIN(S56,S57),Hřiště!$B$11:$E$42,4,0))</f>
        <v>2</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f ca="1">VLOOKUP(C57,Postupy!$A$3:$C$34,3,0)</f>
        <v>20</v>
      </c>
      <c r="B57" s="150"/>
      <c r="C57" s="81">
        <v>10</v>
      </c>
      <c r="D57" s="257" t="str">
        <f ca="1">VLOOKUP(C57,Postupy!$A$3:$BG$34,59,0)</f>
        <v>20 Club Rodamiento - Dlouhá Ivana</v>
      </c>
      <c r="E57" s="130" t="str">
        <f>IF(VLOOKUP(C57,Postupy!$A$3:$BH$34,60,0)=0,"",VLOOKUP(C57,Postupy!$A$3:$BH$34,60,0))</f>
        <v/>
      </c>
      <c r="F57" s="153"/>
      <c r="G57" s="152"/>
      <c r="H57" s="169"/>
      <c r="I57" s="152"/>
      <c r="J57" s="161"/>
      <c r="K57" s="155"/>
      <c r="L57" s="307" t="s">
        <v>966</v>
      </c>
      <c r="M57" s="308">
        <f ca="1">IF(OR(TRIM(L58)="-",TRIM(L59)="-"),"",VLOOKUP(MIN(K58,K59),Hřiště!$B$11:$E$42,4,0))</f>
        <v>5</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7" t="s">
        <v>966</v>
      </c>
      <c r="E59" s="308" t="str">
        <f ca="1">IF(OR(TRIM(D60)="-",TRIM(D61)="-"),"",VLOOKUP(MIN(C60,C61),Hřiště!$B$11:$E$42,4,0))</f>
        <v/>
      </c>
      <c r="F59" s="152"/>
      <c r="G59" s="152"/>
      <c r="H59" s="172"/>
      <c r="I59" s="152"/>
      <c r="J59" s="152"/>
      <c r="K59" s="81">
        <v>2</v>
      </c>
      <c r="L59" s="82" t="str">
        <f ca="1">IF(OR(TRIM(H62)="-",TRIM(H63)="-"), IF(TRIM(H62)="-",H63,H62),IF(AND(I62="",I63="")," ",IF(N(I62)=N(I63)," ",IF(N(I62)&gt;N(I63),H62,H63))))</f>
        <v xml:space="preserve"> </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f ca="1">VLOOKUP(C60,Postupy!$A$3:$C$34,3,0)</f>
        <v>12</v>
      </c>
      <c r="B60" s="150"/>
      <c r="C60" s="79">
        <v>15</v>
      </c>
      <c r="D60" s="257" t="str">
        <f ca="1">VLOOKUP(C60,Postupy!$A$3:$BG$34,59,0)</f>
        <v>12 CdP Loděnice - Marhoul Jan</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1054</v>
      </c>
      <c r="G61" s="155"/>
      <c r="H61" s="307" t="s">
        <v>966</v>
      </c>
      <c r="I61" s="308">
        <f ca="1">IF(OR(TRIM(H62)="-",TRIM(H63)="-"),"",VLOOKUP(MIN(G62,G63),Hřiště!$B$11:$E$42,4,0))</f>
        <v>5</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12 CdP Loděnice - Marhoul Jan</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7" t="s">
        <v>966</v>
      </c>
      <c r="E63" s="308" t="str">
        <f ca="1">IF(OR(TRIM(D64)="-",TRIM(D65)="-"),"",VLOOKUP(MIN(C64,C65),Hřiště!$B$11:$E$42,4,0))</f>
        <v/>
      </c>
      <c r="F63" s="171"/>
      <c r="G63" s="81">
        <v>2</v>
      </c>
      <c r="H63" s="82" t="str">
        <f ca="1">IF(OR(TRIM(D64)="-",TRIM(D65)="-"), IF(TRIM(D64)="-",D65,D64),IF(AND(E64="",E65="")," ",IF(N(E64)=N(E65)," ",IF(N(E64)&gt;N(E65),D64,D65))))</f>
        <v>2 PC Sokol Lipník - Fafek Petr</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2</v>
      </c>
      <c r="B65" s="150"/>
      <c r="C65" s="81">
        <v>2</v>
      </c>
      <c r="D65" s="257" t="str">
        <f ca="1">VLOOKUP(C65,Postupy!$A$3:$BG$34,59,0)</f>
        <v>2 PC Sokol Lipník - Fafek Petr</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17" activePane="bottomRight" state="frozen"/>
      <selection activeCell="G8" sqref="G8"/>
      <selection pane="topRight" activeCell="G8" sqref="G8"/>
      <selection pane="bottomLeft" activeCell="G8" sqref="G8"/>
      <selection pane="bottomRight" activeCell="Q29" sqref="Q29"/>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1055</v>
      </c>
      <c r="E2" s="15"/>
      <c r="F2" s="16"/>
      <c r="G2" s="190">
        <v>8</v>
      </c>
      <c r="H2" s="132" t="s">
        <v>1055</v>
      </c>
      <c r="I2" s="15"/>
      <c r="J2" s="16"/>
      <c r="K2" s="190">
        <v>4</v>
      </c>
      <c r="L2" s="132" t="s">
        <v>1065</v>
      </c>
      <c r="M2" s="16"/>
      <c r="N2" s="16"/>
      <c r="O2" s="190">
        <v>2</v>
      </c>
      <c r="P2" s="132" t="s">
        <v>1063</v>
      </c>
      <c r="Q2" s="16"/>
      <c r="R2" s="16"/>
      <c r="S2" s="190">
        <v>1</v>
      </c>
      <c r="T2" s="149" t="s">
        <v>1064</v>
      </c>
      <c r="U2" s="16"/>
      <c r="V2" s="16"/>
      <c r="W2" s="16"/>
      <c r="X2" s="16"/>
      <c r="Y2" s="16"/>
      <c r="Z2" s="15"/>
      <c r="AA2" s="16"/>
    </row>
    <row r="3" spans="1:30" ht="28.9" customHeight="1" thickBot="1" x14ac:dyDescent="0.35">
      <c r="A3" s="16"/>
      <c r="B3" s="31"/>
      <c r="C3" s="262"/>
      <c r="D3" s="307" t="s">
        <v>966</v>
      </c>
      <c r="E3" s="308">
        <f ca="1">IF(OR(TRIM(D4)="-",TRIM(D5)="-"),"",VLOOKUP(MIN(C4,C5),Hřiště!$B$11:$E$42,4,0))</f>
        <v>4</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6</v>
      </c>
      <c r="B4" s="16"/>
      <c r="C4" s="79">
        <v>1</v>
      </c>
      <c r="D4" s="257" t="str">
        <f ca="1">VLOOKUP(C4,Postupy!$A$3:$AT$18,46,0)</f>
        <v>6 SK Sahara Vědomice - Demčíková Jiřina</v>
      </c>
      <c r="E4" s="130">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35</v>
      </c>
      <c r="B5" s="16"/>
      <c r="C5" s="81">
        <v>16</v>
      </c>
      <c r="D5" s="257" t="str">
        <f ca="1">VLOOKUP(C5,Postupy!$A$3:$AT$18,46,0)</f>
        <v>35 Spolek Park Grébovka - Nepomucký Jaroslav</v>
      </c>
      <c r="E5" s="131">
        <v>6</v>
      </c>
      <c r="F5" s="20"/>
      <c r="G5" s="25"/>
      <c r="H5" s="307" t="s">
        <v>966</v>
      </c>
      <c r="I5" s="308">
        <f ca="1">IF(OR(TRIM(H6)="-",TRIM(H7)="-"),"",VLOOKUP(MIN(G6,G7),Hřiště!$B$11:$E$42,4,0))</f>
        <v>4</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6 SK Sahara Vědomice - Demčíková Jiřina</v>
      </c>
      <c r="I6" s="130">
        <v>6</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966</v>
      </c>
      <c r="E7" s="308">
        <f ca="1">IF(OR(TRIM(D8)="-",TRIM(D9)="-"),"",VLOOKUP(MIN(C8,C9),Hřiště!$B$11:$E$42,4,0))</f>
        <v>8</v>
      </c>
      <c r="F7" s="16"/>
      <c r="G7" s="81">
        <v>8</v>
      </c>
      <c r="H7" s="82" t="str">
        <f ca="1">IF(OR(TRIM(D8)="-",TRIM(D9)="-"), IF(TRIM(D8)="-",D9,D8),IF(AND(E8="",E9="")," ",IF(N(E8)=N(E9)," ",IF(N(E8)&gt;N(E9),D8,D9))))</f>
        <v>7 PC Kolová - Kacerovský Ivo</v>
      </c>
      <c r="I7" s="131">
        <v>13</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f ca="1">VLOOKUP(C8,Postupy!$A$3:$C$18,3,0)</f>
        <v>7</v>
      </c>
      <c r="B8" s="16"/>
      <c r="C8" s="79">
        <v>9</v>
      </c>
      <c r="D8" s="257" t="str">
        <f ca="1">VLOOKUP(C8,Postupy!$A$3:$AT$18,46,0)</f>
        <v>7 PC Kolová - Kacerovský Ivo</v>
      </c>
      <c r="E8" s="130">
        <v>13</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9</v>
      </c>
      <c r="B9" s="16"/>
      <c r="C9" s="81">
        <v>8</v>
      </c>
      <c r="D9" s="257" t="str">
        <f ca="1">VLOOKUP(C9,Postupy!$A$3:$AT$18,46,0)</f>
        <v>9 PK Osika Plzeň - Mráz Václav</v>
      </c>
      <c r="E9" s="131">
        <v>6</v>
      </c>
      <c r="F9" s="27"/>
      <c r="G9" s="16"/>
      <c r="H9" s="46"/>
      <c r="I9" s="16"/>
      <c r="J9" s="16"/>
      <c r="K9" s="25"/>
      <c r="L9" s="307" t="s">
        <v>966</v>
      </c>
      <c r="M9" s="308">
        <f ca="1">IF(OR(TRIM(L10)="-",TRIM(L11)="-"),"",VLOOKUP(MIN(K10,K11),Hřiště!$B$11:$E$42,4,0))</f>
        <v>4</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7 PC Kolová - Kacerovský Ivo</v>
      </c>
      <c r="M10" s="130">
        <v>13</v>
      </c>
      <c r="N10" s="17"/>
      <c r="O10" s="28"/>
      <c r="P10" s="28"/>
      <c r="Q10" s="28"/>
      <c r="R10" s="16"/>
      <c r="S10" s="17"/>
      <c r="T10" s="16"/>
      <c r="U10" s="16"/>
      <c r="V10" s="16"/>
      <c r="W10" s="16"/>
      <c r="X10" s="16"/>
      <c r="Y10" s="16"/>
      <c r="Z10" s="16"/>
      <c r="AA10" s="16"/>
    </row>
    <row r="11" spans="1:30" ht="20.25" thickTop="1" thickBot="1" x14ac:dyDescent="0.35">
      <c r="A11" s="76"/>
      <c r="B11" s="21"/>
      <c r="C11" s="16"/>
      <c r="D11" s="307" t="s">
        <v>966</v>
      </c>
      <c r="E11" s="308">
        <f ca="1">IF(OR(TRIM(D12)="-",TRIM(D13)="-"),"",VLOOKUP(MIN(C12,C13),Hřiště!$B$11:$E$42,4,0))</f>
        <v>3</v>
      </c>
      <c r="F11" s="16"/>
      <c r="G11" s="16"/>
      <c r="H11" s="48"/>
      <c r="I11" s="17"/>
      <c r="J11" s="17"/>
      <c r="K11" s="81">
        <v>4</v>
      </c>
      <c r="L11" s="82" t="str">
        <f ca="1">IF(OR(TRIM(H14)="-",TRIM(H15)="-"), IF(TRIM(H14)="-",H15,H14),IF(AND(I14="",I15="")," ",IF(N(I14)=N(I15)," ",IF(N(I14)&gt;N(I15),H14,H15))))</f>
        <v>3 Petank Club Praha - Klír Tomáš</v>
      </c>
      <c r="M11" s="131">
        <v>6</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45</v>
      </c>
      <c r="B12" s="16"/>
      <c r="C12" s="79">
        <v>5</v>
      </c>
      <c r="D12" s="257" t="str">
        <f ca="1">VLOOKUP(C12,Postupy!$A$3:$AT$18,46,0)</f>
        <v>45 Spolek Park Grébovka - Kremlík Miroslav</v>
      </c>
      <c r="E12" s="130">
        <v>6</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f ca="1">VLOOKUP(C13,Postupy!$A$3:$C$18,3,0)</f>
        <v>3</v>
      </c>
      <c r="B13" s="16"/>
      <c r="C13" s="81">
        <v>12</v>
      </c>
      <c r="D13" s="257" t="str">
        <f ca="1">VLOOKUP(C13,Postupy!$A$3:$AT$18,46,0)</f>
        <v>3 Petank Club Praha - Klír Tomáš</v>
      </c>
      <c r="E13" s="131">
        <v>13</v>
      </c>
      <c r="F13" s="20"/>
      <c r="G13" s="25"/>
      <c r="H13" s="307" t="s">
        <v>966</v>
      </c>
      <c r="I13" s="308">
        <f ca="1">IF(OR(TRIM(H14)="-",TRIM(H15)="-"),"",VLOOKUP(MIN(G14,G15),Hřiště!$B$11:$E$42,4,0))</f>
        <v>6</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3 Petank Club Praha - Klír Tomáš</v>
      </c>
      <c r="I14" s="130">
        <v>13</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7" t="s">
        <v>966</v>
      </c>
      <c r="E15" s="308">
        <f ca="1">IF(OR(TRIM(D16)="-",TRIM(D17)="-"),"",VLOOKUP(MIN(C16,C17),Hřiště!$B$11:$E$42,4,0))</f>
        <v>6</v>
      </c>
      <c r="F15" s="16"/>
      <c r="G15" s="81">
        <v>4</v>
      </c>
      <c r="H15" s="82" t="str">
        <f ca="1">IF(OR(TRIM(D16)="-",TRIM(D17)="-"), IF(TRIM(D16)="-",D17,D16),IF(AND(E16="",E17="")," ",IF(N(E16)=N(E17)," ",IF(N(E16)&gt;N(E17),D16,D17))))</f>
        <v>16 FRAPECO - Felčárek Jaroslav</v>
      </c>
      <c r="I15" s="131">
        <v>6</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f ca="1">VLOOKUP(C16,Postupy!$A$3:$C$18,3,0)</f>
        <v>16</v>
      </c>
      <c r="B16" s="16"/>
      <c r="C16" s="79">
        <v>13</v>
      </c>
      <c r="D16" s="257" t="str">
        <f ca="1">VLOOKUP(C16,Postupy!$A$3:$AT$18,46,0)</f>
        <v>16 FRAPECO - Felčárek Jaroslav</v>
      </c>
      <c r="E16" s="130">
        <v>13</v>
      </c>
      <c r="F16" s="26"/>
      <c r="G16" s="25"/>
      <c r="H16" s="46"/>
      <c r="I16" s="15"/>
      <c r="J16" s="16"/>
      <c r="K16" s="16"/>
      <c r="L16" s="48"/>
      <c r="M16" s="17"/>
      <c r="N16" s="17"/>
      <c r="O16" s="221"/>
      <c r="P16" s="215" t="s">
        <v>1063</v>
      </c>
      <c r="Q16" s="17"/>
      <c r="R16" s="16"/>
      <c r="S16" s="17"/>
      <c r="T16" s="33"/>
      <c r="U16" s="16"/>
      <c r="V16" s="16"/>
      <c r="W16" s="16"/>
      <c r="X16" s="16"/>
      <c r="Y16" s="16"/>
      <c r="Z16" s="16"/>
      <c r="AA16" s="16"/>
    </row>
    <row r="17" spans="1:29" ht="20.25" thickTop="1" thickBot="1" x14ac:dyDescent="0.35">
      <c r="A17" s="87">
        <f ca="1">VLOOKUP(C17,Postupy!$A$3:$C$18,3,0)</f>
        <v>19</v>
      </c>
      <c r="B17" s="16"/>
      <c r="C17" s="81">
        <v>4</v>
      </c>
      <c r="D17" s="257" t="str">
        <f ca="1">VLOOKUP(C17,Postupy!$A$3:$AT$18,46,0)</f>
        <v>19 Petank Club Praha - Vorel Jan</v>
      </c>
      <c r="E17" s="131">
        <v>6</v>
      </c>
      <c r="F17" s="27"/>
      <c r="G17" s="16"/>
      <c r="H17" s="46"/>
      <c r="I17" s="16"/>
      <c r="J17" s="16"/>
      <c r="K17" s="16"/>
      <c r="L17" s="48"/>
      <c r="M17" s="17"/>
      <c r="N17" s="17"/>
      <c r="O17" s="223"/>
      <c r="P17" s="307" t="s">
        <v>966</v>
      </c>
      <c r="Q17" s="308">
        <f ca="1">IF(OR(TRIM(P18)="-",TRIM(P19)="-"),"",VLOOKUP(MIN(O18,O19),Hřiště!$B$11:$E$42,4,0))</f>
        <v>4</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7 PC Kolová - Kacerovský Ivo</v>
      </c>
      <c r="Q18" s="130">
        <v>13</v>
      </c>
      <c r="R18" s="26"/>
      <c r="S18" s="37">
        <v>1</v>
      </c>
      <c r="T18" s="101" t="str">
        <f ca="1">IF(AND(Q18="",Q19="")," ",IF(N(Q18)=N(Q19)," ",IF(N(Q18)&gt;N(Q19),P18,P19)))</f>
        <v>7 PC Kolová - Kacerovský Ivo</v>
      </c>
      <c r="U18" s="38">
        <v>1</v>
      </c>
      <c r="V18" s="16"/>
      <c r="W18" s="16"/>
      <c r="X18" s="16"/>
      <c r="Y18" s="16"/>
      <c r="Z18" s="16"/>
      <c r="AA18" s="16"/>
    </row>
    <row r="19" spans="1:29" ht="20.25" thickTop="1" thickBot="1" x14ac:dyDescent="0.35">
      <c r="A19" s="76"/>
      <c r="B19" s="31"/>
      <c r="C19" s="16"/>
      <c r="D19" s="307" t="s">
        <v>966</v>
      </c>
      <c r="E19" s="308">
        <f ca="1">IF(OR(TRIM(D20)="-",TRIM(D21)="-"),"",VLOOKUP(MIN(C20,C21),Hřiště!$B$11:$E$42,4,0))</f>
        <v>2</v>
      </c>
      <c r="F19" s="16"/>
      <c r="G19" s="16"/>
      <c r="H19" s="49"/>
      <c r="I19" s="16"/>
      <c r="J19" s="16"/>
      <c r="K19" s="16"/>
      <c r="L19" s="49"/>
      <c r="M19" s="16"/>
      <c r="N19" s="16"/>
      <c r="O19" s="81">
        <v>2</v>
      </c>
      <c r="P19" s="82" t="str">
        <f ca="1">IF(OR(TRIM(L26)="-",TRIM(L27)="-"),IF(TRIM(L26)="-",L27,L26),IF(AND(M26="",M27="")," ",IF(N(M26)=N(M27)," ",IF(N(M26)&gt;N(M27),L26,L27))))</f>
        <v>2 PC Sokol Lipník - Fafek Petr</v>
      </c>
      <c r="Q19" s="131">
        <v>6</v>
      </c>
      <c r="R19" s="16"/>
      <c r="S19" s="37">
        <v>2</v>
      </c>
      <c r="T19" s="99" t="str">
        <f ca="1">IF(AND(Q18="",Q19="")," ",IF(N(Q19)=N(Q18)," ",IF(N(Q19)&gt;N(Q18),P18,P19)))</f>
        <v>2 PC Sokol Lipník - Fafek Petr</v>
      </c>
      <c r="U19" s="98">
        <v>2</v>
      </c>
      <c r="V19" s="16"/>
      <c r="W19" s="16"/>
      <c r="X19" s="16"/>
      <c r="Y19" s="16"/>
      <c r="Z19" s="16"/>
      <c r="AA19" s="16"/>
    </row>
    <row r="20" spans="1:29" ht="18.75" thickBot="1" x14ac:dyDescent="0.3">
      <c r="A20" s="87">
        <f ca="1">VLOOKUP(C20,Postupy!$A$3:$C$18,3,0)</f>
        <v>11</v>
      </c>
      <c r="B20" s="16"/>
      <c r="C20" s="79">
        <v>3</v>
      </c>
      <c r="D20" s="257" t="str">
        <f ca="1">VLOOKUP(C20,Postupy!$A$3:$AT$18,46,0)</f>
        <v>11 PC Sokol Lipník - Froňková Blanka</v>
      </c>
      <c r="E20" s="130">
        <v>13</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f ca="1">VLOOKUP(C21,Postupy!$A$3:$C$18,3,0)</f>
        <v>10</v>
      </c>
      <c r="B21" s="16"/>
      <c r="C21" s="81">
        <v>14</v>
      </c>
      <c r="D21" s="257" t="str">
        <f ca="1">VLOOKUP(C21,Postupy!$A$3:$AT$18,46,0)</f>
        <v>10 PC Kolová - Plucar Petr</v>
      </c>
      <c r="E21" s="131">
        <v>6</v>
      </c>
      <c r="F21" s="20"/>
      <c r="G21" s="25"/>
      <c r="H21" s="307" t="s">
        <v>966</v>
      </c>
      <c r="I21" s="308">
        <f ca="1">IF(OR(TRIM(H22)="-",TRIM(H23)="-"),"",VLOOKUP(MIN(G22,G23),Hřiště!$B$11:$E$42,4,0))</f>
        <v>2</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11 PC Sokol Lipník - Froňková Blanka</v>
      </c>
      <c r="I22" s="130">
        <v>6</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7" t="s">
        <v>966</v>
      </c>
      <c r="E23" s="308">
        <f ca="1">IF(OR(TRIM(D24)="-",TRIM(D25)="-"),"",VLOOKUP(MIN(C24,C25),Hřiště!$B$11:$E$42,4,0))</f>
        <v>1</v>
      </c>
      <c r="F23" s="16"/>
      <c r="G23" s="81">
        <v>6</v>
      </c>
      <c r="H23" s="82" t="str">
        <f ca="1">IF(OR(TRIM(D24)="-",TRIM(D25)="-"), IF(TRIM(D24)="-",D25,D24),IF(AND(E24="",E25="")," ",IF(N(E24)=N(E25)," ",IF(N(E24)&gt;N(E25),D24,D25))))</f>
        <v>22 UBU Únětice - Palas Pavel</v>
      </c>
      <c r="I23" s="131">
        <v>13</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f ca="1">VLOOKUP(C24,Postupy!$A$3:$C$18,3,0)</f>
        <v>1</v>
      </c>
      <c r="B24" s="16"/>
      <c r="C24" s="79">
        <v>11</v>
      </c>
      <c r="D24" s="257" t="str">
        <f ca="1">VLOOKUP(C24,Postupy!$A$3:$AT$18,46,0)</f>
        <v>1 PC Sokol Lipník - Morávek Petr</v>
      </c>
      <c r="E24" s="130">
        <v>6</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22</v>
      </c>
      <c r="B25" s="16"/>
      <c r="C25" s="81">
        <v>6</v>
      </c>
      <c r="D25" s="257" t="str">
        <f ca="1">VLOOKUP(C25,Postupy!$A$3:$AT$18,46,0)</f>
        <v>22 UBU Únětice - Palas Pavel</v>
      </c>
      <c r="E25" s="131">
        <v>13</v>
      </c>
      <c r="F25" s="27"/>
      <c r="G25" s="16"/>
      <c r="H25" s="46"/>
      <c r="I25" s="16"/>
      <c r="J25" s="16"/>
      <c r="K25" s="25"/>
      <c r="L25" s="307" t="s">
        <v>966</v>
      </c>
      <c r="M25" s="308">
        <f ca="1">IF(OR(TRIM(L26)="-",TRIM(L27)="-"),"",VLOOKUP(MIN(K26,K27),Hřiště!$B$11:$E$42,4,0))</f>
        <v>5</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22 UBU Únětice - Palas Pavel</v>
      </c>
      <c r="M26" s="130">
        <v>6</v>
      </c>
      <c r="N26" s="26"/>
      <c r="O26" s="25"/>
      <c r="P26" s="15"/>
      <c r="Q26" s="15"/>
      <c r="R26" s="16"/>
      <c r="S26" s="16"/>
      <c r="T26" s="16"/>
      <c r="U26" s="16"/>
      <c r="V26" s="16"/>
      <c r="W26" s="16"/>
      <c r="X26" s="16"/>
      <c r="Y26" s="16"/>
      <c r="Z26" s="16"/>
      <c r="AA26" s="16"/>
    </row>
    <row r="27" spans="1:29" ht="20.25" thickTop="1" thickBot="1" x14ac:dyDescent="0.35">
      <c r="A27" s="76"/>
      <c r="B27" s="31"/>
      <c r="C27" s="16"/>
      <c r="D27" s="307" t="s">
        <v>966</v>
      </c>
      <c r="E27" s="308">
        <f ca="1">IF(OR(TRIM(D28)="-",TRIM(D29)="-"),"",VLOOKUP(MIN(C28,C29),Hřiště!$B$11:$E$42,4,0))</f>
        <v>7</v>
      </c>
      <c r="F27" s="16"/>
      <c r="G27" s="16"/>
      <c r="H27" s="48"/>
      <c r="I27" s="17"/>
      <c r="J27" s="17"/>
      <c r="K27" s="81">
        <v>2</v>
      </c>
      <c r="L27" s="82" t="str">
        <f ca="1">IF(OR(TRIM(H30)="-",TRIM(H31)="-"), IF(TRIM(H30)="-",H31,H30),IF(AND(I30="",I31="")," ",IF(N(I30)=N(I31)," ",IF(N(I30)&gt;N(I31),H30,H31))))</f>
        <v>2 PC Sokol Lipník - Fafek Petr</v>
      </c>
      <c r="M27" s="131">
        <v>13</v>
      </c>
      <c r="N27" s="27"/>
      <c r="O27" s="16"/>
      <c r="P27" s="16"/>
      <c r="Q27" s="16"/>
      <c r="R27" s="16"/>
      <c r="S27" s="16"/>
      <c r="T27" s="16"/>
      <c r="U27" s="16"/>
      <c r="V27" s="16"/>
      <c r="W27" s="16"/>
      <c r="X27" s="16"/>
      <c r="Y27" s="16"/>
      <c r="Z27" s="16"/>
      <c r="AA27" s="16"/>
    </row>
    <row r="28" spans="1:29" ht="18.75" thickBot="1" x14ac:dyDescent="0.3">
      <c r="A28" s="87">
        <f ca="1">VLOOKUP(C28,Postupy!$A$3:$C$18,3,0)</f>
        <v>43</v>
      </c>
      <c r="B28" s="16"/>
      <c r="C28" s="79">
        <v>7</v>
      </c>
      <c r="D28" s="257" t="str">
        <f ca="1">VLOOKUP(C28,Postupy!$A$3:$AT$18,46,0)</f>
        <v>43 SK Španielka Řepy - Holoubek Pavel</v>
      </c>
      <c r="E28" s="130">
        <v>6</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f ca="1">VLOOKUP(C29,Postupy!$A$3:$C$18,3,0)</f>
        <v>20</v>
      </c>
      <c r="B29" s="16"/>
      <c r="C29" s="81">
        <v>10</v>
      </c>
      <c r="D29" s="257" t="str">
        <f ca="1">VLOOKUP(C29,Postupy!$A$3:$AT$18,46,0)</f>
        <v>20 Club Rodamiento - Dlouhá Ivana</v>
      </c>
      <c r="E29" s="131">
        <v>13</v>
      </c>
      <c r="F29" s="20"/>
      <c r="G29" s="25"/>
      <c r="H29" s="307" t="s">
        <v>966</v>
      </c>
      <c r="I29" s="308">
        <f ca="1">IF(OR(TRIM(H30)="-",TRIM(H31)="-"),"",VLOOKUP(MIN(G30,G31),Hřiště!$B$11:$E$42,4,0))</f>
        <v>5</v>
      </c>
      <c r="J29" s="23"/>
      <c r="K29" s="15"/>
      <c r="L29" s="33"/>
      <c r="M29" s="15"/>
      <c r="N29" s="16"/>
      <c r="O29" s="152"/>
      <c r="P29" s="213" t="s">
        <v>1066</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20 Club Rodamiento - Dlouhá Ivana</v>
      </c>
      <c r="I30" s="130">
        <v>6</v>
      </c>
      <c r="J30" s="26"/>
      <c r="K30" s="16"/>
      <c r="L30" s="33"/>
      <c r="M30" s="16"/>
      <c r="N30" s="16"/>
      <c r="O30" s="152"/>
      <c r="P30" s="214" t="s">
        <v>1067</v>
      </c>
      <c r="Q30" s="152"/>
      <c r="R30" s="152"/>
      <c r="S30" s="152"/>
      <c r="T30" s="16"/>
      <c r="U30" s="16"/>
      <c r="V30" s="16"/>
      <c r="W30" s="16"/>
      <c r="X30" s="16"/>
      <c r="Y30" s="16"/>
      <c r="Z30" s="16"/>
      <c r="AA30" s="16"/>
      <c r="AB30" s="16"/>
      <c r="AC30" s="16"/>
    </row>
    <row r="31" spans="1:29" ht="20.25" thickTop="1" thickBot="1" x14ac:dyDescent="0.35">
      <c r="A31" s="76"/>
      <c r="B31" s="31"/>
      <c r="C31" s="16"/>
      <c r="D31" s="307" t="s">
        <v>966</v>
      </c>
      <c r="E31" s="308">
        <f ca="1">IF(OR(TRIM(D32)="-",TRIM(D33)="-"),"",VLOOKUP(MIN(C32,C33),Hřiště!$B$11:$E$42,4,0))</f>
        <v>5</v>
      </c>
      <c r="F31" s="16"/>
      <c r="G31" s="81">
        <v>2</v>
      </c>
      <c r="H31" s="82" t="str">
        <f ca="1">IF(OR(TRIM(D32)="-",TRIM(D33)="-"), IF(TRIM(D32)="-",D33,D32),IF(AND(E32="",E33="")," ",IF(N(E32)=N(E33)," ",IF(N(E32)&gt;N(E33),D32,D33))))</f>
        <v>2 PC Sokol Lipník - Fafek Petr</v>
      </c>
      <c r="I31" s="131">
        <v>13</v>
      </c>
      <c r="J31" s="27"/>
      <c r="K31" s="16"/>
      <c r="L31" s="33"/>
      <c r="M31" s="16"/>
      <c r="N31" s="16"/>
      <c r="O31" s="152"/>
      <c r="P31" s="307" t="s">
        <v>966</v>
      </c>
      <c r="Q31" s="308">
        <f ca="1">IF(OR(TRIM(P32)="-",TRIM(P33)="-"),"",VLOOKUP(MIN(O32,O33),Hřiště!$B$11:$E$42,4,0))</f>
        <v>2</v>
      </c>
      <c r="R31" s="152"/>
      <c r="S31" s="152"/>
      <c r="T31" s="16"/>
      <c r="U31" s="16"/>
      <c r="V31" s="16"/>
      <c r="W31" s="16"/>
      <c r="X31" s="16"/>
      <c r="Y31" s="16"/>
      <c r="Z31" s="16"/>
      <c r="AA31" s="16"/>
      <c r="AB31" s="16"/>
      <c r="AC31" s="16"/>
    </row>
    <row r="32" spans="1:29" ht="19.5" thickTop="1" thickBot="1" x14ac:dyDescent="0.3">
      <c r="A32" s="87">
        <f ca="1">VLOOKUP(C32,Postupy!$A$3:$C$18,3,0)</f>
        <v>12</v>
      </c>
      <c r="B32" s="16"/>
      <c r="C32" s="79">
        <v>15</v>
      </c>
      <c r="D32" s="257" t="str">
        <f ca="1">VLOOKUP(C32,Postupy!$A$3:$AT$18,46,0)</f>
        <v>12 CdP Loděnice - Marhoul Jan</v>
      </c>
      <c r="E32" s="130">
        <v>6</v>
      </c>
      <c r="F32" s="26"/>
      <c r="G32" s="25"/>
      <c r="H32" s="33"/>
      <c r="I32" s="15"/>
      <c r="J32" s="16"/>
      <c r="K32" s="16"/>
      <c r="L32" s="16"/>
      <c r="M32" s="16"/>
      <c r="N32" s="16"/>
      <c r="O32" s="79">
        <v>4</v>
      </c>
      <c r="P32" s="80" t="str">
        <f ca="1">IF(OR(TRIM(L10)="-",TRIM(L11)="-"), IF(TRIM(L10)="-",L11,L10),IF(AND(M10="",M11="")," ",IF(N(M11)=N(M10)," ",IF(N(M11)&gt;N(M10),L10,L11))))</f>
        <v>3 Petank Club Praha - Klír Tomáš</v>
      </c>
      <c r="Q32" s="130">
        <v>6</v>
      </c>
      <c r="R32" s="166"/>
      <c r="S32" s="37">
        <v>3</v>
      </c>
      <c r="T32" s="99" t="str">
        <f ca="1">IF(AND(Q32="",Q33="")," ",IF(N(Q32)=N(Q33)," ",IF(N(Q32)&gt;N(Q33),P32,P33)))</f>
        <v>22 UBU Únětice - Palas Pavel</v>
      </c>
      <c r="U32" s="98">
        <v>3</v>
      </c>
      <c r="V32" s="16"/>
      <c r="W32" s="16"/>
      <c r="X32" s="16"/>
      <c r="Y32" s="16"/>
      <c r="Z32" s="16"/>
      <c r="AA32" s="16"/>
    </row>
    <row r="33" spans="1:27" ht="19.5" thickTop="1" thickBot="1" x14ac:dyDescent="0.3">
      <c r="A33" s="87">
        <f ca="1">VLOOKUP(C33,Postupy!$A$3:$C$18,3,0)</f>
        <v>2</v>
      </c>
      <c r="B33" s="16"/>
      <c r="C33" s="81">
        <v>2</v>
      </c>
      <c r="D33" s="257" t="str">
        <f ca="1">VLOOKUP(C33,Postupy!$A$3:$AT$18,46,0)</f>
        <v>2 PC Sokol Lipník - Fafek Petr</v>
      </c>
      <c r="E33" s="131">
        <v>13</v>
      </c>
      <c r="F33" s="27"/>
      <c r="G33" s="16"/>
      <c r="H33" s="33"/>
      <c r="I33" s="16"/>
      <c r="J33" s="16"/>
      <c r="K33" s="16"/>
      <c r="L33" s="16"/>
      <c r="M33" s="16"/>
      <c r="N33" s="16"/>
      <c r="O33" s="81">
        <v>3</v>
      </c>
      <c r="P33" s="82" t="str">
        <f ca="1">IF(OR(TRIM(L26)="-",TRIM(L27)="-"), IF(TRIM(L26)="-",L27,L26),IF(AND(M26="",M27="")," ",IF(N(M27)=N(M26)," ",IF(N(M27)&gt;N(M26),L26,L27))))</f>
        <v>22 UBU Únětice - Palas Pavel</v>
      </c>
      <c r="Q33" s="131">
        <v>13</v>
      </c>
      <c r="R33" s="154"/>
      <c r="S33" s="37">
        <v>4</v>
      </c>
      <c r="T33" s="99" t="str">
        <f ca="1">IF(AND(Q32="",Q33="")," ",IF(N(Q33)=N(Q32)," ",IF(N(Q33)&gt;N(Q32),P32,P33)))</f>
        <v>3 Petank Club Praha - Klír Tomáš</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M11" sqref="M11"/>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1058</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966</v>
      </c>
      <c r="E3" s="308"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f ca="1">VLOOKUP(C4,Postupy!$A$3:$C$34,3,0)</f>
        <v>35</v>
      </c>
      <c r="B4" s="21"/>
      <c r="C4" s="79">
        <v>16</v>
      </c>
      <c r="D4" s="257" t="str">
        <f ca="1">IF(OR(TRIM('KO16'!D4)="-",TRIM('KO16'!D5)="-"), IF(TRIM('KO16'!D4)="-",'KO16'!D4,'KO16'!D5),IF(AND('KO16'!E4="",'KO16'!E5="")," ",IF(N('KO16'!E4)=N('KO16'!E5)," ",IF(N('KO16'!E4)&gt;N('KO16'!E5),'KO16'!D5,'KO16'!D4))))</f>
        <v>35 Spolek Park Grébovka - Nepomucký Jaroslav</v>
      </c>
      <c r="E4" s="130">
        <v>6</v>
      </c>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f ca="1">VLOOKUP(C5,Postupy!$A$3:$C$34,3,0)</f>
        <v>7</v>
      </c>
      <c r="B5" s="31"/>
      <c r="C5" s="81">
        <v>9</v>
      </c>
      <c r="D5" s="258" t="str">
        <f ca="1">IF(OR(TRIM('KO16'!D8)="-",TRIM('KO16'!D9)="-"), IF(TRIM('KO16'!D8)="-",'KO16'!D8,'KO16'!D9),IF(AND('KO16'!E8="",'KO16'!E9="")," ",IF(N('KO16'!E8)=N('KO16'!E9)," ",IF(N('KO16'!E8)&gt;N('KO16'!E9),'KO16'!D9,'KO16'!D8))))</f>
        <v>9 PK Osika Plzeň - Mráz Václav</v>
      </c>
      <c r="E5" s="131">
        <v>13</v>
      </c>
      <c r="F5" s="20"/>
      <c r="G5" s="25"/>
      <c r="H5" s="307" t="s">
        <v>966</v>
      </c>
      <c r="I5" s="308"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9 PK Osika Plzeň - Mráz Václav</v>
      </c>
      <c r="I6" s="130">
        <v>6</v>
      </c>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966</v>
      </c>
      <c r="E7" s="308" t="str">
        <f ca="1">IF(OR(TRIM(D8)="-",TRIM(D9)="-"),"",VLOOKUP(MIN(C8,C9),Hřiště!$B$11:$E$42,4,0))</f>
        <v/>
      </c>
      <c r="F7" s="16"/>
      <c r="G7" s="81">
        <v>12</v>
      </c>
      <c r="H7" s="82" t="str">
        <f ca="1">IF(OR(TRIM(D8)="-",TRIM(D9)="-"), IF(TRIM(D8)="-",D9,D8),IF(AND(E8="",E9="")," ",IF(N(E8)=N(E9)," ",IF(N(E8)&gt;N(E9),D8,D9))))</f>
        <v>19 Petank Club Praha - Vorel Jan</v>
      </c>
      <c r="I7" s="131">
        <v>13</v>
      </c>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f ca="1">VLOOKUP(C8,Postupy!$A$3:$C$34,3,0)</f>
        <v>3</v>
      </c>
      <c r="B8" s="21"/>
      <c r="C8" s="79">
        <v>12</v>
      </c>
      <c r="D8" s="257" t="str">
        <f ca="1">IF(OR(TRIM('KO16'!D12)="-",TRIM('KO16'!D13)="-"), IF(TRIM('KO16'!D12)="-",'KO16'!D12,'KO16'!D13),IF(AND('KO16'!E12="",'KO16'!E13="")," ",IF(N('KO16'!E12)=N('KO16'!E13)," ",IF(N('KO16'!E12)&gt;N('KO16'!E13),'KO16'!D13,'KO16'!D12))))</f>
        <v>45 Spolek Park Grébovka - Kremlík Miroslav</v>
      </c>
      <c r="E8" s="130">
        <v>6</v>
      </c>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f ca="1">VLOOKUP(C9,Postupy!$A$3:$C$34,3,0)</f>
        <v>16</v>
      </c>
      <c r="B9" s="31"/>
      <c r="C9" s="81">
        <v>13</v>
      </c>
      <c r="D9" s="258" t="str">
        <f ca="1">IF(OR(TRIM('KO16'!D16)="-",TRIM('KO16'!D17)="-"), IF(TRIM('KO16'!D16)="-",'KO16'!D16,'KO16'!D17),IF(AND('KO16'!E16="",'KO16'!E17="")," ",IF(N('KO16'!E16)=N('KO16'!E17)," ",IF(N('KO16'!E16)&gt;N('KO16'!E17),'KO16'!D17,'KO16'!D16))))</f>
        <v>19 Petank Club Praha - Vorel Jan</v>
      </c>
      <c r="E9" s="131">
        <v>13</v>
      </c>
      <c r="F9" s="27"/>
      <c r="G9" s="16"/>
      <c r="H9" s="46"/>
      <c r="I9" s="208"/>
      <c r="J9" s="16"/>
      <c r="K9" s="25"/>
      <c r="L9" s="259" t="s">
        <v>795</v>
      </c>
      <c r="M9" s="308"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19 Petank Club Praha - Vorel Jan</v>
      </c>
      <c r="M10" s="130">
        <v>6</v>
      </c>
      <c r="N10" s="26"/>
      <c r="O10" s="37">
        <v>9</v>
      </c>
      <c r="P10" s="101" t="str">
        <f ca="1">IF(AND(M10="",M11="")," ",IF(N(M10)=N(M11)," ",IF(N(M10)&gt;N(M11),L10,L11)))</f>
        <v>12 CdP Loděnice - Marhoul Jan</v>
      </c>
      <c r="Q10" s="38">
        <v>9</v>
      </c>
      <c r="R10" s="16"/>
      <c r="S10" s="17"/>
      <c r="T10" s="16"/>
      <c r="U10" s="16"/>
      <c r="V10" s="16"/>
      <c r="W10" s="16"/>
      <c r="X10" s="16"/>
      <c r="Y10" s="16"/>
      <c r="Z10" s="16"/>
      <c r="AA10" s="16"/>
    </row>
    <row r="11" spans="1:30" ht="20.25" thickTop="1" thickBot="1" x14ac:dyDescent="0.35">
      <c r="A11" s="76"/>
      <c r="B11" s="21"/>
      <c r="C11" s="16"/>
      <c r="D11" s="307" t="s">
        <v>966</v>
      </c>
      <c r="E11" s="308" t="str">
        <f ca="1">IF(OR(TRIM(D12)="-",TRIM(D13)="-"),"",VLOOKUP(MIN(C12,C13),Hřiště!$B$11:$E$42,4,0))</f>
        <v/>
      </c>
      <c r="F11" s="16"/>
      <c r="G11" s="16"/>
      <c r="H11" s="48"/>
      <c r="I11" s="210"/>
      <c r="J11" s="17"/>
      <c r="K11" s="81">
        <v>10</v>
      </c>
      <c r="L11" s="82" t="str">
        <f ca="1">IF(OR(TRIM(H14)="-",TRIM(H15)="-"), IF(TRIM(H14)="-",H15,H14),IF(AND(I14="",I15="")," ",IF(N(I14)=N(I15)," ",IF(N(I14)&gt;N(I15),H14,H15))))</f>
        <v>12 CdP Loděnice - Marhoul Jan</v>
      </c>
      <c r="M11" s="131">
        <v>13</v>
      </c>
      <c r="N11" s="20"/>
      <c r="O11" s="37">
        <v>10</v>
      </c>
      <c r="P11" s="99" t="str">
        <f ca="1">IF(AND(M10="",M11="")," ",IF(N(M11)=N(M10)," ",IF(N(M11)&gt;N(M10),L10,L11)))</f>
        <v>19 Petank Club Praha - Vorel Jan</v>
      </c>
      <c r="Q11" s="98">
        <v>10</v>
      </c>
      <c r="R11" s="16"/>
      <c r="S11" s="16"/>
      <c r="T11" s="16"/>
      <c r="U11" s="16"/>
      <c r="V11" s="16"/>
      <c r="W11" s="16"/>
      <c r="X11" s="16"/>
      <c r="Y11" s="15"/>
      <c r="Z11" s="16"/>
      <c r="AA11" s="16"/>
      <c r="AB11" s="16"/>
      <c r="AC11" s="17"/>
    </row>
    <row r="12" spans="1:30" ht="18.75" thickBot="1" x14ac:dyDescent="0.3">
      <c r="A12" s="87">
        <f ca="1">VLOOKUP(C12,Postupy!$A$3:$C$34,3,0)</f>
        <v>10</v>
      </c>
      <c r="B12" s="21"/>
      <c r="C12" s="79">
        <v>14</v>
      </c>
      <c r="D12" s="257" t="str">
        <f ca="1">IF(OR(TRIM('KO16'!D20)="-",TRIM('KO16'!D21)="-"), IF(TRIM('KO16'!D20)="-",'KO16'!D20,'KO16'!D21),IF(AND('KO16'!E20="",'KO16'!E21="")," ",IF(N('KO16'!E20)=N('KO16'!E21)," ",IF(N('KO16'!E20)&gt;N('KO16'!E21),'KO16'!D21,'KO16'!D20))))</f>
        <v>10 PC Kolová - Plucar Petr</v>
      </c>
      <c r="E12" s="130">
        <v>6</v>
      </c>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f ca="1">VLOOKUP(C13,Postupy!$A$3:$C$34,3,0)</f>
        <v>1</v>
      </c>
      <c r="B13" s="31"/>
      <c r="C13" s="81">
        <v>11</v>
      </c>
      <c r="D13" s="258" t="str">
        <f ca="1">IF(OR(TRIM('KO16'!D24)="-",TRIM('KO16'!D25)="-"), IF(TRIM('KO16'!D24)="-",'KO16'!D24,'KO16'!D25),IF(AND('KO16'!E24="",'KO16'!E25="")," ",IF(N('KO16'!E24)=N('KO16'!E25)," ",IF(N('KO16'!E24)&gt;N('KO16'!E25),'KO16'!D25,'KO16'!D24))))</f>
        <v>1 PC Sokol Lipník - Morávek Petr</v>
      </c>
      <c r="E13" s="131">
        <v>13</v>
      </c>
      <c r="F13" s="20"/>
      <c r="G13" s="25"/>
      <c r="H13" s="307" t="s">
        <v>966</v>
      </c>
      <c r="I13" s="308"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1 PC Sokol Lipník - Morávek Petr</v>
      </c>
      <c r="I14" s="130">
        <v>6</v>
      </c>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7" t="s">
        <v>966</v>
      </c>
      <c r="E15" s="308" t="str">
        <f ca="1">IF(OR(TRIM(D16)="-",TRIM(D17)="-"),"",VLOOKUP(MIN(C16,C17),Hřiště!$B$11:$E$42,4,0))</f>
        <v/>
      </c>
      <c r="F15" s="16"/>
      <c r="G15" s="81">
        <v>10</v>
      </c>
      <c r="H15" s="82" t="str">
        <f ca="1">IF(OR(TRIM(D16)="-",TRIM(D17)="-"), IF(TRIM(D16)="-",D17,D16),IF(AND(E16="",E17="")," ",IF(N(E16)=N(E17)," ",IF(N(E16)&gt;N(E17),D16,D17))))</f>
        <v>12 CdP Loděnice - Marhoul Jan</v>
      </c>
      <c r="I15" s="131">
        <v>13</v>
      </c>
      <c r="J15" s="27"/>
      <c r="K15" s="16"/>
      <c r="L15" s="48"/>
      <c r="M15" s="212"/>
      <c r="N15" s="48"/>
      <c r="O15" s="48"/>
      <c r="P15" s="48"/>
      <c r="Q15" s="48"/>
      <c r="R15" s="48"/>
      <c r="S15" s="48"/>
      <c r="T15" s="48"/>
      <c r="U15" s="48"/>
      <c r="V15" s="16"/>
      <c r="W15" s="16"/>
      <c r="X15" s="16"/>
      <c r="Y15" s="17"/>
      <c r="Z15" s="16"/>
      <c r="AA15" s="16"/>
    </row>
    <row r="16" spans="1:30" ht="18.75" thickBot="1" x14ac:dyDescent="0.3">
      <c r="A16" s="87">
        <f ca="1">VLOOKUP(C16,Postupy!$A$3:$C$34,3,0)</f>
        <v>20</v>
      </c>
      <c r="B16" s="21"/>
      <c r="C16" s="79">
        <v>10</v>
      </c>
      <c r="D16" s="257" t="str">
        <f ca="1">IF(OR(TRIM('KO16'!D28)="-",TRIM('KO16'!D29)="-"), IF(TRIM('KO16'!D28)="-",'KO16'!D28,'KO16'!D29),IF(AND('KO16'!E28="",'KO16'!E29="")," ",IF(N('KO16'!E28)=N('KO16'!E29)," ",IF(N('KO16'!E28)&gt;N('KO16'!E29),'KO16'!D29,'KO16'!D28))))</f>
        <v>43 SK Španielka Řepy - Holoubek Pavel</v>
      </c>
      <c r="E16" s="130">
        <v>6</v>
      </c>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f ca="1">VLOOKUP(C17,Postupy!$A$3:$C$34,3,0)</f>
        <v>12</v>
      </c>
      <c r="B17" s="31"/>
      <c r="C17" s="81">
        <v>15</v>
      </c>
      <c r="D17" s="258" t="str">
        <f ca="1">IF(OR(TRIM('KO16'!D32)="-",TRIM('KO16'!D33)="-"),IF(TRIM('KO16'!D32)="-",'KO16'!D32,'KO16'!D33),IF(AND('KO16'!E32="",'KO16'!E33="")," ",IF(N('KO16'!E32)=N('KO16'!E33)," ",IF(N('KO16'!E32)&gt;N('KO16'!E33),'KO16'!D33,'KO16'!D32))))</f>
        <v>12 CdP Loděnice - Marhoul Jan</v>
      </c>
      <c r="E17" s="131">
        <v>13</v>
      </c>
      <c r="F17" s="27"/>
      <c r="G17" s="16"/>
      <c r="H17" s="46"/>
      <c r="I17" s="208"/>
      <c r="J17" s="16"/>
      <c r="K17" s="16"/>
      <c r="L17" s="259" t="s">
        <v>796</v>
      </c>
      <c r="M17" s="308"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9 PK Osika Plzeň - Mráz Václav</v>
      </c>
      <c r="M18" s="130">
        <v>6</v>
      </c>
      <c r="N18" s="26"/>
      <c r="O18" s="37">
        <v>11</v>
      </c>
      <c r="P18" s="99" t="str">
        <f ca="1">IF(AND(M18="",M19="")," ",IF(N(M18)=N(M19)," ",IF(N(M18)&gt;N(M19),L18,L19)))</f>
        <v>1 PC Sokol Lipník - Morávek Petr</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1 PC Sokol Lipník - Morávek Petr</v>
      </c>
      <c r="M19" s="131">
        <v>13</v>
      </c>
      <c r="N19" s="20"/>
      <c r="O19" s="37">
        <v>12</v>
      </c>
      <c r="P19" s="99" t="str">
        <f ca="1">IF(AND(M18="",M19="")," ",IF(N(M19)=N(M18)," ",IF(N(M19)&gt;N(M18),L18,L19)))</f>
        <v>9 PK Osika Plzeň - Mráz Václav</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797</v>
      </c>
      <c r="I21" s="308"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35 Spolek Park Grébovka - Nepomucký Jaroslav</v>
      </c>
      <c r="I22" s="130">
        <v>6</v>
      </c>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45 Spolek Park Grébovka - Kremlík Miroslav</v>
      </c>
      <c r="I23" s="131">
        <v>13</v>
      </c>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798</v>
      </c>
      <c r="M25" s="308"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45 Spolek Park Grébovka - Kremlík Miroslav</v>
      </c>
      <c r="M26" s="130">
        <v>6</v>
      </c>
      <c r="N26" s="26"/>
      <c r="O26" s="37">
        <v>13</v>
      </c>
      <c r="P26" s="99" t="str">
        <f ca="1">IF(AND(M26="",M27="")," ",IF(N(M26)=N(M27)," ",IF(N(M26)&gt;N(M27),L26,L27)))</f>
        <v>10 PC Kolová - Plucar Petr</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10 PC Kolová - Plucar Petr</v>
      </c>
      <c r="M27" s="131">
        <v>13</v>
      </c>
      <c r="N27" s="20"/>
      <c r="O27" s="37">
        <v>14</v>
      </c>
      <c r="P27" s="99" t="str">
        <f ca="1">IF(AND(M26="",M27="")," ",IF(N(M27)=N(M26)," ",IF(N(M27)&gt;N(M26),L26,L27)))</f>
        <v>45 Spolek Park Grébovka - Kremlík Miroslav</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797</v>
      </c>
      <c r="I29" s="308"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10 PC Kolová - Plucar Petr</v>
      </c>
      <c r="I30" s="130">
        <v>13</v>
      </c>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43 SK Španielka Řepy - Holoubek Pavel</v>
      </c>
      <c r="I31" s="131">
        <v>6</v>
      </c>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799</v>
      </c>
      <c r="M33" s="308"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35 Spolek Park Grébovka - Nepomucký Jaroslav</v>
      </c>
      <c r="M34" s="130">
        <v>6</v>
      </c>
      <c r="N34" s="26"/>
      <c r="O34" s="37">
        <v>15</v>
      </c>
      <c r="P34" s="99" t="str">
        <f ca="1">IF(AND(M34="",M35="")," ",IF(N(M34)=N(M35)," ",IF(N(M34)&gt;N(M35),L34,L35)))</f>
        <v>43 SK Španielka Řepy - Holoubek Pavel</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43 SK Španielka Řepy - Holoubek Pavel</v>
      </c>
      <c r="M35" s="131">
        <v>13</v>
      </c>
      <c r="N35" s="20"/>
      <c r="O35" s="37">
        <v>16</v>
      </c>
      <c r="P35" s="99" t="str">
        <f ca="1">IF(AND(M34="",M35="")," ",IF(N(M35)=N(M34)," ",IF(N(M35)&gt;N(M34),L34,L35)))</f>
        <v>35 Spolek Park Grébovka - Nepomucký Jaroslav</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1055</v>
      </c>
      <c r="E2" s="15"/>
      <c r="F2" s="16"/>
      <c r="G2" s="190">
        <v>4</v>
      </c>
      <c r="H2" s="132" t="s">
        <v>1065</v>
      </c>
      <c r="I2" s="16"/>
      <c r="J2" s="16"/>
      <c r="K2" s="190">
        <v>2</v>
      </c>
      <c r="L2" s="132" t="s">
        <v>1063</v>
      </c>
      <c r="M2" s="16"/>
      <c r="N2" s="16"/>
      <c r="O2" s="190">
        <v>1</v>
      </c>
      <c r="P2" s="149" t="s">
        <v>1064</v>
      </c>
      <c r="Q2" s="16"/>
      <c r="R2" s="16"/>
      <c r="S2" s="16"/>
      <c r="T2" s="15"/>
      <c r="U2" s="16"/>
      <c r="V2" s="15"/>
      <c r="W2" s="16"/>
      <c r="X2" s="16"/>
      <c r="Y2" s="16"/>
      <c r="Z2" s="15"/>
      <c r="AA2" s="16"/>
    </row>
    <row r="3" spans="1:30" ht="28.9" customHeight="1" thickBot="1" x14ac:dyDescent="0.35">
      <c r="A3" s="16"/>
      <c r="B3" s="16"/>
      <c r="C3" s="31"/>
      <c r="D3" s="307" t="s">
        <v>966</v>
      </c>
      <c r="E3" s="308">
        <f ca="1">IF(OR(TRIM(D4)="-",TRIM(D5)="-"),"",VLOOKUP(MIN(C4,C5),Hřiště!$B$11:$E$42,4,0))</f>
        <v>4</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6</v>
      </c>
      <c r="B4" s="16"/>
      <c r="C4" s="79">
        <v>1</v>
      </c>
      <c r="D4" s="257" t="str">
        <f ca="1">VLOOKUP(C4,Postupy!$A$3:$AI$10,35,0)</f>
        <v>6 SK Sahara Vědomice - Demčíková Jiřina</v>
      </c>
      <c r="E4" s="130">
        <f>VLOOKUP(C4,Postupy!$A$3:$AJ$10,36,0)</f>
        <v>6</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9</v>
      </c>
      <c r="B5" s="16"/>
      <c r="C5" s="81">
        <v>8</v>
      </c>
      <c r="D5" s="257" t="str">
        <f ca="1">VLOOKUP(C5,Postupy!$A$3:$AI$10,35,0)</f>
        <v>7 PC Kolová - Kacerovský Ivo</v>
      </c>
      <c r="E5" s="131">
        <f>VLOOKUP(C5,Postupy!$A$3:$AJ$10,36,0)</f>
        <v>13</v>
      </c>
      <c r="F5" s="20"/>
      <c r="G5" s="25"/>
      <c r="H5" s="307" t="s">
        <v>966</v>
      </c>
      <c r="I5" s="308">
        <f ca="1">IF(OR(TRIM(H6)="-",TRIM(H7)="-"),"",VLOOKUP(MIN(G6,G7),Hřiště!$B$11:$E$42,4,0))</f>
        <v>4</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7 PC Kolová - Kacerovský Ivo</v>
      </c>
      <c r="I6" s="130">
        <f>VLOOKUP(G6,Postupy!$A$3:$AL$6,38,0)</f>
        <v>13</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966</v>
      </c>
      <c r="E7" s="308">
        <f ca="1">IF(OR(TRIM(D8)="-",TRIM(D9)="-"),"",VLOOKUP(MIN(C8,C9),Hřiště!$B$11:$E$42,4,0))</f>
        <v>6</v>
      </c>
      <c r="F7" s="16"/>
      <c r="G7" s="81">
        <v>4</v>
      </c>
      <c r="H7" s="82" t="str">
        <f ca="1">IF(OR(TRIM(D8)="-",TRIM(D9)="-"), IF(TRIM(D8)="-",D9,D8),IF(AND(E8="",E9="")," ",IF(N(E8)=N(E9)," ",IF(N(E8)&gt;N(E9),D8,D9))))</f>
        <v>3 Petank Club Praha - Klír Tomáš</v>
      </c>
      <c r="I7" s="131">
        <f>VLOOKUP(G7,Postupy!$A$3:$AL$6,38,0)</f>
        <v>6</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45</v>
      </c>
      <c r="B8" s="16"/>
      <c r="C8" s="79">
        <v>5</v>
      </c>
      <c r="D8" s="257" t="str">
        <f ca="1">VLOOKUP(C8,Postupy!$A$3:$AI$10,35,0)</f>
        <v>3 Petank Club Praha - Klír Tomáš</v>
      </c>
      <c r="E8" s="130">
        <f>VLOOKUP(C8,Postupy!$A$3:$AJ$10,36,0)</f>
        <v>13</v>
      </c>
      <c r="F8" s="26"/>
      <c r="G8" s="25"/>
      <c r="H8" s="46"/>
      <c r="I8" s="15"/>
      <c r="J8" s="16"/>
      <c r="K8" s="25"/>
      <c r="L8" s="215" t="s">
        <v>1063</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19</v>
      </c>
      <c r="B9" s="16"/>
      <c r="C9" s="81">
        <v>4</v>
      </c>
      <c r="D9" s="257" t="str">
        <f ca="1">VLOOKUP(C9,Postupy!$A$3:$AI$10,35,0)</f>
        <v>16 FRAPECO - Felčárek Jaroslav</v>
      </c>
      <c r="E9" s="131">
        <f>VLOOKUP(C9,Postupy!$A$3:$AJ$10,36,0)</f>
        <v>6</v>
      </c>
      <c r="F9" s="27"/>
      <c r="G9" s="16"/>
      <c r="H9" s="46"/>
      <c r="I9" s="16"/>
      <c r="J9" s="16"/>
      <c r="K9" s="25"/>
      <c r="L9" s="307" t="s">
        <v>966</v>
      </c>
      <c r="M9" s="308">
        <f ca="1">IF(OR(TRIM(L10)="-",TRIM(L11)="-"),"",VLOOKUP(MIN(K10,K11),Hřiště!$B$11:$E$42,4,0))</f>
        <v>4</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7 PC Kolová - Kacerovský Ivo</v>
      </c>
      <c r="M10" s="130">
        <f>VLOOKUP(K10,Postupy!$A$3:$AN$6,40,0)</f>
        <v>13</v>
      </c>
      <c r="N10" s="26"/>
      <c r="O10" s="37">
        <v>1</v>
      </c>
      <c r="P10" s="101" t="str">
        <f ca="1">IF(AND(M10="",M11="")," ",IF(N(M10)=N(M11)," ",IF(N(M10)&gt;N(M11),L10,L11)))</f>
        <v>7 PC Kolová - Kacerovský Ivo</v>
      </c>
      <c r="Q10" s="38">
        <v>1</v>
      </c>
      <c r="R10" s="16"/>
      <c r="S10" s="17"/>
      <c r="T10" s="16"/>
      <c r="U10" s="16"/>
      <c r="V10" s="16"/>
      <c r="W10" s="16"/>
      <c r="X10" s="16"/>
      <c r="Y10" s="16"/>
      <c r="Z10" s="16"/>
      <c r="AA10" s="16"/>
    </row>
    <row r="11" spans="1:30" ht="20.25" thickTop="1" thickBot="1" x14ac:dyDescent="0.35">
      <c r="A11" s="76"/>
      <c r="B11" s="21"/>
      <c r="C11" s="16"/>
      <c r="D11" s="307" t="s">
        <v>966</v>
      </c>
      <c r="E11" s="308">
        <f ca="1">IF(OR(TRIM(D12)="-",TRIM(D13)="-"),"",VLOOKUP(MIN(C12,C13),Hřiště!$B$11:$E$42,4,0))</f>
        <v>2</v>
      </c>
      <c r="F11" s="16"/>
      <c r="G11" s="16"/>
      <c r="H11" s="48"/>
      <c r="I11" s="17"/>
      <c r="J11" s="17"/>
      <c r="K11" s="81">
        <v>2</v>
      </c>
      <c r="L11" s="82" t="str">
        <f ca="1">IF(OR(TRIM(H14)="-",TRIM(H15)="-"), IF(TRIM(H14)="-",H15,H14),IF(AND(I14="",I15="")," ",IF(N(I14)=N(I15)," ",IF(N(I14)&gt;N(I15),H14,H15))))</f>
        <v>2 PC Sokol Lipník - Fafek Petr</v>
      </c>
      <c r="M11" s="131">
        <f>VLOOKUP(K11,Postupy!$A$3:$AN$6,40,0)</f>
        <v>6</v>
      </c>
      <c r="N11" s="16"/>
      <c r="O11" s="37">
        <v>2</v>
      </c>
      <c r="P11" s="99" t="str">
        <f ca="1">IF(AND(M10="",M11="")," ",IF(N(M11)=N(M10)," ",IF(N(M11)&gt;N(M10),L10,L11)))</f>
        <v>2 PC Sokol Lipník - Fafek Petr</v>
      </c>
      <c r="Q11" s="98">
        <v>2</v>
      </c>
      <c r="R11" s="16"/>
      <c r="S11" s="16"/>
      <c r="T11" s="16"/>
      <c r="U11" s="16"/>
      <c r="V11" s="16"/>
      <c r="W11" s="16"/>
      <c r="X11" s="16"/>
      <c r="Y11" s="15"/>
      <c r="Z11" s="16"/>
      <c r="AA11" s="16"/>
      <c r="AB11" s="16"/>
      <c r="AC11" s="17"/>
    </row>
    <row r="12" spans="1:30" ht="18.75" thickBot="1" x14ac:dyDescent="0.3">
      <c r="A12" s="87">
        <f ca="1">VLOOKUP(C12,Postupy!$A$3:$C$18,3,0)</f>
        <v>11</v>
      </c>
      <c r="B12" s="16"/>
      <c r="C12" s="79">
        <v>3</v>
      </c>
      <c r="D12" s="257" t="str">
        <f ca="1">VLOOKUP(C12,Postupy!$A$3:$AI$10,35,0)</f>
        <v>11 PC Sokol Lipník - Froňková Blanka</v>
      </c>
      <c r="E12" s="130">
        <f>VLOOKUP(C12,Postupy!$A$3:$AJ$10,36,0)</f>
        <v>6</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22</v>
      </c>
      <c r="B13" s="16"/>
      <c r="C13" s="81">
        <v>6</v>
      </c>
      <c r="D13" s="257" t="str">
        <f ca="1">VLOOKUP(C13,Postupy!$A$3:$AI$10,35,0)</f>
        <v>22 UBU Únětice - Palas Pavel</v>
      </c>
      <c r="E13" s="131">
        <f>VLOOKUP(C13,Postupy!$A$3:$AJ$10,36,0)</f>
        <v>13</v>
      </c>
      <c r="F13" s="20"/>
      <c r="G13" s="25"/>
      <c r="H13" s="307" t="s">
        <v>966</v>
      </c>
      <c r="I13" s="308">
        <f ca="1">IF(OR(TRIM(H14)="-",TRIM(H15)="-"),"",VLOOKUP(MIN(G14,G15),Hřiště!$B$11:$E$42,4,0))</f>
        <v>5</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22 UBU Únětice - Palas Pavel</v>
      </c>
      <c r="I14" s="130">
        <f>VLOOKUP(G14,Postupy!$A$3:$AL$6,38,0)</f>
        <v>6</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7" t="s">
        <v>966</v>
      </c>
      <c r="E15" s="308">
        <f ca="1">IF(OR(TRIM(D16)="-",TRIM(D17)="-"),"",VLOOKUP(MIN(C16,C17),Hřiště!$B$11:$E$42,4,0))</f>
        <v>5</v>
      </c>
      <c r="F15" s="16"/>
      <c r="G15" s="81">
        <v>2</v>
      </c>
      <c r="H15" s="82" t="str">
        <f ca="1">IF(OR(TRIM(D16)="-",TRIM(D17)="-"), IF(TRIM(D16)="-",D17,D16),IF(AND(E16="",E17="")," ",IF(N(E16)=N(E17)," ",IF(N(E16)&gt;N(E17),D16,D17))))</f>
        <v>2 PC Sokol Lipník - Fafek Petr</v>
      </c>
      <c r="I15" s="131">
        <f>VLOOKUP(G15,Postupy!$A$3:$AL$6,38,0)</f>
        <v>13</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43</v>
      </c>
      <c r="B16" s="16"/>
      <c r="C16" s="79">
        <v>7</v>
      </c>
      <c r="D16" s="257" t="str">
        <f ca="1">VLOOKUP(C16,Postupy!$A$3:$AI$10,35,0)</f>
        <v>20 Club Rodamiento - Dlouhá Ivana</v>
      </c>
      <c r="E16" s="130">
        <f>VLOOKUP(C16,Postupy!$A$3:$AJ$10,36,0)</f>
        <v>6</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2</v>
      </c>
      <c r="B17" s="16"/>
      <c r="C17" s="81">
        <v>2</v>
      </c>
      <c r="D17" s="257" t="str">
        <f ca="1">VLOOKUP(C17,Postupy!$A$3:$AI$10,35,0)</f>
        <v>2 PC Sokol Lipník - Fafek Petr</v>
      </c>
      <c r="E17" s="131">
        <f>VLOOKUP(C17,Postupy!$A$3:$AJ$10,36,0)</f>
        <v>13</v>
      </c>
      <c r="F17" s="27"/>
      <c r="G17" s="16"/>
      <c r="H17" s="46"/>
      <c r="I17" s="16"/>
      <c r="J17" s="16"/>
      <c r="K17" s="152"/>
      <c r="L17" s="213" t="s">
        <v>1066</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1067</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7" t="s">
        <v>966</v>
      </c>
      <c r="M19" s="308">
        <f ca="1">IF(OR(TRIM(L20)="-",TRIM(L21)="-"),"",VLOOKUP(MIN(K20,K21),Hřiště!$B$11:$E$42,4,0))</f>
        <v>2</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3 Petank Club Praha - Klír Tomáš</v>
      </c>
      <c r="M20" s="130">
        <f>VLOOKUP(K20,Postupy!$A$3:$AN$6,40,0)</f>
        <v>6</v>
      </c>
      <c r="N20" s="166"/>
      <c r="O20" s="37">
        <v>3</v>
      </c>
      <c r="P20" s="99" t="str">
        <f ca="1">IF(AND(M20="",M21="")," ",IF(N(M20)=N(M21)," ",IF(N(M20)&gt;N(M21),L20,L21)))</f>
        <v>22 UBU Únětice - Palas Pavel</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22 UBU Únětice - Palas Pavel</v>
      </c>
      <c r="M21" s="131">
        <f>VLOOKUP(K21,Postupy!$A$3:$AN$6,40,0)</f>
        <v>13</v>
      </c>
      <c r="N21" s="154"/>
      <c r="O21" s="37">
        <v>4</v>
      </c>
      <c r="P21" s="99" t="str">
        <f ca="1">IF(AND(M20="",M21="")," ",IF(N(M21)=N(M20)," ",IF(N(M21)&gt;N(M20),L20,L21)))</f>
        <v>3 Petank Club Praha - Klír Tomáš</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8" sqref="I8"/>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1057</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966</v>
      </c>
      <c r="E3" s="308">
        <f ca="1">IF(OR(TRIM(D4)="-",TRIM(D5)="-"),"",VLOOKUP(MIN(C4,C5),Hřiště!$B$11:$E$42,4,0))</f>
        <v>3</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9</v>
      </c>
      <c r="B4" s="65"/>
      <c r="C4" s="79">
        <v>8</v>
      </c>
      <c r="D4" s="257" t="str">
        <f ca="1">IF(OR(TRIM('KO8'!D4)="-",TRIM('KO8'!D5)="-"), IF(TRIM('KO8'!D4)="-",'KO8'!D4,'KO8'!D5),IF(AND('KO8'!E4="",'KO8'!E5="")," ",IF(N('KO8'!E4)=N('KO8'!E5)," ",IF(N('KO8'!E4)&gt;N('KO8'!E5),'KO8'!D5,'KO8'!D4))))</f>
        <v>6 SK Sahara Vědomice - Demčíková Jiřina</v>
      </c>
      <c r="E4" s="130">
        <v>13</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45</v>
      </c>
      <c r="B5" s="66"/>
      <c r="C5" s="81">
        <v>5</v>
      </c>
      <c r="D5" s="258" t="str">
        <f ca="1">IF(OR(TRIM('KO8'!D8)="-",TRIM('KO8'!D9)="-"), IF(TRIM('KO8'!D8)="-",'KO8'!D8,'KO8'!D9),IF(AND('KO8'!E8="",'KO8'!E9="")," ",IF(N('KO8'!E8)=N('KO8'!E9)," ",IF(N('KO8'!E8)&gt;N('KO8'!E9),'KO8'!D9,'KO8'!D8))))</f>
        <v>16 FRAPECO - Felčárek Jaroslav</v>
      </c>
      <c r="E5" s="131">
        <v>6</v>
      </c>
      <c r="F5" s="20"/>
      <c r="G5" s="25"/>
      <c r="H5" s="259" t="s">
        <v>793</v>
      </c>
      <c r="I5" s="308">
        <f ca="1">IF(OR(TRIM(H6)="-",TRIM(H7)="-"),"",VLOOKUP(MIN(G6,G7),Hřiště!$B$11:$E$42,4,0))</f>
        <v>3</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6 SK Sahara Vědomice - Demčíková Jiřina</v>
      </c>
      <c r="I6" s="130">
        <v>13</v>
      </c>
      <c r="J6" s="26"/>
      <c r="K6" s="38">
        <v>5</v>
      </c>
      <c r="L6" s="101" t="str">
        <f ca="1">IF(AND(I6="",I7="")," ",IF(N(I6)=N(I7)," ",IF(N(I6)&gt;N(I7),H6,H7)))</f>
        <v>6 SK Sahara Vědomice - Demčíková Jiřina</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7" t="s">
        <v>966</v>
      </c>
      <c r="E7" s="308">
        <f ca="1">IF(OR(TRIM(D8)="-",TRIM(D9)="-"),"",VLOOKUP(MIN(C8,C9),Hřiště!$B$11:$E$42,4,0))</f>
        <v>1</v>
      </c>
      <c r="F7" s="16"/>
      <c r="G7" s="81">
        <v>6</v>
      </c>
      <c r="H7" s="82" t="str">
        <f ca="1">IF(OR(TRIM(D8)="-",TRIM(D9)="-"), IF(TRIM(D8)="-",D9,D8),IF(AND(E8="",E9="")," ",IF(N(E8)=N(E9)," ",IF(N(E8)&gt;N(E9),D8,D9))))</f>
        <v>11 PC Sokol Lipník - Froňková Blanka</v>
      </c>
      <c r="I7" s="131">
        <v>6</v>
      </c>
      <c r="J7" s="20"/>
      <c r="K7" s="260">
        <v>6</v>
      </c>
      <c r="L7" s="99" t="str">
        <f ca="1">IF(AND(I6="",I7="")," ",IF(N(I7)=N(I6)," ",IF(N(I7)&gt;N(I6),H6,H7)))</f>
        <v>11 PC Sokol Lipník - Froňková Blanka</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11 PC Sokol Lipník - Froňková Blanka</v>
      </c>
      <c r="E8" s="130">
        <v>13</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20 Club Rodamiento - Dlouhá Ivana</v>
      </c>
      <c r="E9" s="131">
        <v>6</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794</v>
      </c>
      <c r="I11" s="308">
        <f ca="1">IF(OR(TRIM(H12)="-",TRIM(H13)="-"),"",VLOOKUP(MIN(G12,G13),Hřiště!$B$11:$E$42,4,0))</f>
        <v>7</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16 FRAPECO - Felčárek Jaroslav</v>
      </c>
      <c r="I12" s="130">
        <v>6</v>
      </c>
      <c r="J12" s="166"/>
      <c r="K12" s="98">
        <v>7</v>
      </c>
      <c r="L12" s="99" t="str">
        <f ca="1">IF(AND(I12="",I13="")," ",IF(N(I12)=N(I13)," ",IF(N(I12)&gt;N(I13),H12,H13)))</f>
        <v>20 Club Rodamiento - Dlouhá Ivana</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20 Club Rodamiento - Dlouhá Ivana</v>
      </c>
      <c r="I13" s="131">
        <v>13</v>
      </c>
      <c r="J13" s="154"/>
      <c r="K13" s="260">
        <v>8</v>
      </c>
      <c r="L13" s="99" t="str">
        <f ca="1">IF(AND(I12="",I13="")," ",IF(N(I13)=N(I12)," ",IF(N(I13)&gt;N(I12),H12,H13)))</f>
        <v>16 FRAPECO - Felčárek Jaroslav</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1065</v>
      </c>
      <c r="E2" s="16"/>
      <c r="F2" s="16"/>
      <c r="G2" s="190">
        <v>2</v>
      </c>
      <c r="H2" s="132" t="s">
        <v>1063</v>
      </c>
      <c r="I2" s="16"/>
      <c r="J2" s="16"/>
      <c r="K2" s="190">
        <v>1</v>
      </c>
      <c r="L2" s="149" t="s">
        <v>1064</v>
      </c>
      <c r="M2" s="16"/>
      <c r="N2" s="16"/>
      <c r="O2" s="16"/>
      <c r="P2" s="17"/>
    </row>
    <row r="3" spans="1:28" ht="28.9" customHeight="1" thickBot="1" x14ac:dyDescent="0.35">
      <c r="A3" s="16"/>
      <c r="B3" s="16"/>
      <c r="C3" s="27"/>
      <c r="D3" s="307" t="s">
        <v>966</v>
      </c>
      <c r="E3" s="308">
        <f ca="1">IF(OR(TRIM(D4)="-",TRIM(D5)="-"),"",VLOOKUP(MIN(C4,C5),Hřiště!$B$11:$E$42,4,0))</f>
        <v>4</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6</v>
      </c>
      <c r="B4" s="16"/>
      <c r="C4" s="79">
        <v>1</v>
      </c>
      <c r="D4" s="257" t="str">
        <f ca="1">VLOOKUP(C4,Postupy!$A$3:$W$6,23,0)</f>
        <v>7 PC Kolová - Kacerovský Ivo</v>
      </c>
      <c r="E4" s="130">
        <f>VLOOKUP(C4,Postupy!$A$3:$X$6,24,0)</f>
        <v>13</v>
      </c>
      <c r="F4" s="19"/>
      <c r="G4" s="15"/>
      <c r="H4" s="215" t="s">
        <v>1063</v>
      </c>
      <c r="I4" s="15"/>
      <c r="J4" s="16"/>
      <c r="K4" s="16"/>
      <c r="L4" s="16"/>
      <c r="M4" s="16"/>
      <c r="N4" s="16"/>
      <c r="O4" s="16"/>
      <c r="P4" s="17"/>
    </row>
    <row r="5" spans="1:28" ht="20.25" thickTop="1" thickBot="1" x14ac:dyDescent="0.35">
      <c r="A5" s="87">
        <f ca="1">VLOOKUP(C5,Postupy!$A$3:$C$18,3,0)</f>
        <v>19</v>
      </c>
      <c r="B5" s="16"/>
      <c r="C5" s="81">
        <v>4</v>
      </c>
      <c r="D5" s="257" t="str">
        <f ca="1">VLOOKUP(C5,Postupy!$A$3:$W$6,23,0)</f>
        <v>3 Petank Club Praha - Klír Tomáš</v>
      </c>
      <c r="E5" s="131">
        <f>VLOOKUP(C5,Postupy!$A$3:$X$6,24,0)</f>
        <v>6</v>
      </c>
      <c r="F5" s="20"/>
      <c r="G5" s="25"/>
      <c r="H5" s="307" t="s">
        <v>966</v>
      </c>
      <c r="I5" s="308">
        <f ca="1">IF(OR(TRIM(H6)="-",TRIM(H7)="-"),"",VLOOKUP(MIN(G6,G7),Hřiště!$B$11:$E$42,4,0))</f>
        <v>4</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7 PC Kolová - Kacerovský Ivo</v>
      </c>
      <c r="I6" s="130">
        <f>VLOOKUP(G6,Postupy!$A$3:$Z$6,26,0)</f>
        <v>13</v>
      </c>
      <c r="J6" s="26"/>
      <c r="K6" s="37">
        <v>1</v>
      </c>
      <c r="L6" s="101" t="str">
        <f ca="1">IF(AND(I6="",I7="")," ",IF(N(I6)=N(I7)," ",IF(N(I6)&gt;N(I7),H6,H7)))</f>
        <v>7 PC Kolová - Kacerovský Ivo</v>
      </c>
      <c r="M6" s="38">
        <v>1</v>
      </c>
      <c r="N6" s="16"/>
      <c r="O6" s="17"/>
      <c r="P6" s="16"/>
    </row>
    <row r="7" spans="1:28" ht="20.25" thickTop="1" thickBot="1" x14ac:dyDescent="0.35">
      <c r="A7" s="76"/>
      <c r="B7" s="31"/>
      <c r="C7" s="16"/>
      <c r="D7" s="307" t="s">
        <v>966</v>
      </c>
      <c r="E7" s="308">
        <f ca="1">IF(OR(TRIM(D8)="-",TRIM(D9)="-"),"",VLOOKUP(MIN(C8,C9),Hřiště!$B$11:$E$42,4,0))</f>
        <v>5</v>
      </c>
      <c r="F7" s="17"/>
      <c r="G7" s="81">
        <v>2</v>
      </c>
      <c r="H7" s="82" t="str">
        <f ca="1">IF(OR(TRIM(D8)="-",TRIM(D9)="-"), IF(TRIM(D8)="-",D9,D8),IF(AND(E8="",E9="")," ",IF(N(E8)=N(E9)," ",IF(N(E8)&gt;N(E9),D8,D9))))</f>
        <v>2 PC Sokol Lipník - Fafek Petr</v>
      </c>
      <c r="I7" s="131">
        <f>VLOOKUP(G7,Postupy!$A$3:$Z$6,26,0)</f>
        <v>6</v>
      </c>
      <c r="J7" s="16"/>
      <c r="K7" s="37">
        <v>2</v>
      </c>
      <c r="L7" s="99" t="str">
        <f ca="1">IF(AND(I6="",I7="")," ",IF(N(I7)=N(I6)," ",IF(N(I7)&gt;N(I6),H6,H7)))</f>
        <v>2 PC Sokol Lipník - Fafek Petr</v>
      </c>
      <c r="M7" s="98">
        <v>2</v>
      </c>
      <c r="N7" s="16"/>
      <c r="O7" s="16"/>
      <c r="P7" s="16"/>
    </row>
    <row r="8" spans="1:28" ht="18.75" thickBot="1" x14ac:dyDescent="0.3">
      <c r="A8" s="87">
        <f ca="1">VLOOKUP(C8,Postupy!$A$3:$C$9,3,0)</f>
        <v>11</v>
      </c>
      <c r="B8" s="16"/>
      <c r="C8" s="79">
        <v>3</v>
      </c>
      <c r="D8" s="257" t="str">
        <f ca="1">VLOOKUP(C8,Postupy!$A$3:$W$6,23,0)</f>
        <v>22 UBU Únětice - Palas Pavel</v>
      </c>
      <c r="E8" s="130">
        <f>VLOOKUP(C8,Postupy!$A$3:$X$6,24,0)</f>
        <v>6</v>
      </c>
      <c r="F8" s="26"/>
      <c r="G8" s="16"/>
      <c r="H8" s="48"/>
      <c r="I8" s="17"/>
      <c r="J8" s="16"/>
      <c r="K8" s="16"/>
      <c r="L8" s="16"/>
      <c r="M8" s="16"/>
      <c r="N8" s="16"/>
      <c r="O8" s="17"/>
      <c r="P8" s="16"/>
    </row>
    <row r="9" spans="1:28" ht="19.5" thickTop="1" thickBot="1" x14ac:dyDescent="0.3">
      <c r="A9" s="87">
        <f ca="1">VLOOKUP(C9,Postupy!$A$3:$C$18,3,0)</f>
        <v>2</v>
      </c>
      <c r="B9" s="16"/>
      <c r="C9" s="81">
        <v>2</v>
      </c>
      <c r="D9" s="257" t="str">
        <f ca="1">VLOOKUP(C9,Postupy!$A$3:$W$6,23,0)</f>
        <v>2 PC Sokol Lipník - Fafek Petr</v>
      </c>
      <c r="E9" s="131">
        <f>VLOOKUP(C9,Postupy!$A$3:$X$6,24,0)</f>
        <v>13</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1066</v>
      </c>
      <c r="I13" s="17"/>
      <c r="J13" s="45"/>
      <c r="K13" s="45"/>
      <c r="L13" s="17"/>
      <c r="M13" s="17"/>
      <c r="N13" s="16"/>
      <c r="O13" s="16"/>
      <c r="P13" s="17"/>
    </row>
    <row r="14" spans="1:28" ht="17.25" thickBot="1" x14ac:dyDescent="0.3">
      <c r="A14" s="77"/>
      <c r="B14" s="21"/>
      <c r="C14" s="16"/>
      <c r="D14" s="49"/>
      <c r="E14" s="16"/>
      <c r="F14" s="16"/>
      <c r="G14" s="45"/>
      <c r="H14" s="214" t="s">
        <v>1067</v>
      </c>
      <c r="I14" s="17"/>
      <c r="J14" s="45"/>
      <c r="K14" s="45"/>
      <c r="L14" s="17"/>
      <c r="M14" s="17"/>
      <c r="N14" s="16"/>
      <c r="O14" s="16"/>
      <c r="P14" s="17"/>
    </row>
    <row r="15" spans="1:28" ht="15" thickBot="1" x14ac:dyDescent="0.35">
      <c r="A15" s="76"/>
      <c r="B15" s="31"/>
      <c r="C15" s="16"/>
      <c r="D15" s="46"/>
      <c r="E15" s="16"/>
      <c r="F15" s="16"/>
      <c r="G15" s="152"/>
      <c r="H15" s="307" t="s">
        <v>966</v>
      </c>
      <c r="I15" s="308">
        <f ca="1">IF(OR(TRIM(H16)="-",TRIM(H17)="-"),"",VLOOKUP(MIN(G16,G17),Hřiště!$B$11:$E$42,4,0))</f>
        <v>2</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3 Petank Club Praha - Klír Tomáš</v>
      </c>
      <c r="I16" s="130">
        <f>VLOOKUP(G16,Postupy!$A$3:$Z$6,26,0)</f>
        <v>6</v>
      </c>
      <c r="J16" s="166"/>
      <c r="K16" s="37">
        <v>3</v>
      </c>
      <c r="L16" s="99" t="str">
        <f ca="1">IF(AND(I16="",I17="")," ",IF(N(I16)=N(I17)," ",IF(N(I16)&gt;N(I17),H16,H17)))</f>
        <v>22 UBU Únětice - Palas Pavel</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22 UBU Únětice - Palas Pavel</v>
      </c>
      <c r="I17" s="131">
        <f>VLOOKUP(G17,Postupy!$A$3:$Z$6,26,0)</f>
        <v>13</v>
      </c>
      <c r="J17" s="154"/>
      <c r="K17" s="37">
        <v>4</v>
      </c>
      <c r="L17" s="99" t="str">
        <f ca="1">IF(AND(I16="",I17="")," ",IF(N(I17)=N(I16)," ",IF(N(I17)&gt;N(I16),H16,H17)))</f>
        <v>3 Petank Club Praha - Klír Tomáš</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145" zoomScaleNormal="145" workbookViewId="0">
      <selection sqref="A1:C17"/>
    </sheetView>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731</v>
      </c>
      <c r="C1" s="460" t="s">
        <v>651</v>
      </c>
      <c r="D1" s="16"/>
    </row>
    <row r="2" spans="1:6" ht="24.6" customHeight="1" x14ac:dyDescent="0.4">
      <c r="A2" s="104">
        <v>1</v>
      </c>
      <c r="B2" s="145" t="str">
        <f ca="1">VLOOKUP($A2,Postupy!$A$3:$I$18,9,0)</f>
        <v>7 PC Kolová - Kacerovský Ivo</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Kacerovský Ivo PC Kolová, Beránek Miroslav PC Kolová,             </v>
      </c>
      <c r="D2" s="104">
        <v>1</v>
      </c>
      <c r="F2">
        <f ca="1">IF(TYPE(VLOOKUP($B2,Start.listina!$AL$11:$BF$138,21,0))=16,"",VLOOKUP($B2,Start.listina!$AL$11:$BF$138,21,0))</f>
        <v>7</v>
      </c>
    </row>
    <row r="3" spans="1:6" ht="22.9" customHeight="1" x14ac:dyDescent="0.4">
      <c r="A3" s="105">
        <v>2</v>
      </c>
      <c r="B3" s="146" t="str">
        <f ca="1">VLOOKUP($A3,Postupy!$A$3:$I$18,9,0)</f>
        <v>2 PC Sokol Lipník - Fafek Petr</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Fafek Petr PC Sokol Lipník, Hladký Jaroslav 1. KPK Vrchlabí,             </v>
      </c>
      <c r="D3" s="105">
        <v>2</v>
      </c>
      <c r="F3">
        <f ca="1">IF(TYPE(VLOOKUP($B3,Start.listina!$AL$11:$BF$138,21,0))=16,"",VLOOKUP($B3,Start.listina!$AL$11:$BF$138,21,0))</f>
        <v>2</v>
      </c>
    </row>
    <row r="4" spans="1:6" ht="22.9" customHeight="1" x14ac:dyDescent="0.4">
      <c r="A4" s="105">
        <v>3</v>
      </c>
      <c r="B4" s="146" t="str">
        <f ca="1">VLOOKUP($A4,Postupy!$A$3:$I$18,9,0)</f>
        <v>22 UBU Únětice - Palas Pavel</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Palas Pavel UBU Únětice, Horáček Jindřich PC Kolová,             </v>
      </c>
      <c r="D4" s="105">
        <v>3</v>
      </c>
      <c r="F4">
        <f ca="1">IF(TYPE(VLOOKUP($B4,Start.listina!$AL$11:$BF$138,21,0))=16,"",VLOOKUP($B4,Start.listina!$AL$11:$BF$138,21,0))</f>
        <v>22</v>
      </c>
    </row>
    <row r="5" spans="1:6" ht="22.9" customHeight="1" x14ac:dyDescent="0.4">
      <c r="A5" s="105">
        <v>4</v>
      </c>
      <c r="B5" s="146" t="str">
        <f ca="1">VLOOKUP($A5,Postupy!$A$3:$I$18,9,0)</f>
        <v>3 Petank Club Praha - Klír Tomáš</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Klír Tomáš Petank Club Praha, Fuksa Petr UBU Únětice,             </v>
      </c>
      <c r="D5" s="105">
        <v>4</v>
      </c>
      <c r="F5">
        <f ca="1">IF(TYPE(VLOOKUP($B5,Start.listina!$AL$11:$BF$138,21,0))=16,"",VLOOKUP($B5,Start.listina!$AL$11:$BF$138,21,0))</f>
        <v>3</v>
      </c>
    </row>
    <row r="6" spans="1:6" ht="22.9" customHeight="1" x14ac:dyDescent="0.4">
      <c r="A6" s="105">
        <v>5</v>
      </c>
      <c r="B6" s="146" t="str">
        <f ca="1">VLOOKUP($A6,Postupy!$A$3:$I$18,9,0)</f>
        <v>6 SK Sahara Vědomice - Demčíková Jiřina</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Demčíková Jiřina SK Sahara Vědomice, Tomášková Dana UBU Únětice,             </v>
      </c>
      <c r="D6" s="105">
        <v>5</v>
      </c>
      <c r="F6">
        <f ca="1">IF(TYPE(VLOOKUP($B6,Start.listina!$AL$11:$BF$138,21,0))=16,"",VLOOKUP($B6,Start.listina!$AL$11:$BF$138,21,0))</f>
        <v>6</v>
      </c>
    </row>
    <row r="7" spans="1:6" ht="22.9" customHeight="1" x14ac:dyDescent="0.4">
      <c r="A7" s="105">
        <v>6</v>
      </c>
      <c r="B7" s="146" t="str">
        <f ca="1">VLOOKUP($A7,Postupy!$A$3:$I$18,9,0)</f>
        <v>11 PC Sokol Lipník - Froňková Blanka</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Froňková Blanka PC Sokol Lipník, Gorroňo López Rubi PC Sokol Lipník,             </v>
      </c>
      <c r="D7" s="105">
        <v>6</v>
      </c>
      <c r="F7">
        <f ca="1">IF(TYPE(VLOOKUP($B7,Start.listina!$AL$11:$BF$138,21,0))=16,"",VLOOKUP($B7,Start.listina!$AL$11:$BF$138,21,0))</f>
        <v>11</v>
      </c>
    </row>
    <row r="8" spans="1:6" ht="22.9" customHeight="1" x14ac:dyDescent="0.4">
      <c r="A8" s="105">
        <v>7</v>
      </c>
      <c r="B8" s="146" t="str">
        <f ca="1">VLOOKUP($A8,Postupy!$A$3:$I$18,9,0)</f>
        <v>20 Club Rodamiento - Dlouhá Ivana</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Dlouhá Ivana Club Rodamiento, Kamaryt Josef Club Rodamiento,             </v>
      </c>
      <c r="D8" s="105">
        <v>7</v>
      </c>
      <c r="F8">
        <f ca="1">IF(TYPE(VLOOKUP($B8,Start.listina!$AL$11:$BF$138,21,0))=16,"",VLOOKUP($B8,Start.listina!$AL$11:$BF$138,21,0))</f>
        <v>20</v>
      </c>
    </row>
    <row r="9" spans="1:6" ht="22.9" customHeight="1" x14ac:dyDescent="0.4">
      <c r="A9" s="105">
        <v>8</v>
      </c>
      <c r="B9" s="146" t="str">
        <f ca="1">VLOOKUP($A9,Postupy!$A$3:$I$18,9,0)</f>
        <v>16 FRAPECO - Felčárek Jaroslav</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Felčárek Jaroslav FRAPECO, Malá Margita FRAPECO,             </v>
      </c>
      <c r="D9" s="105">
        <v>8</v>
      </c>
      <c r="F9">
        <f ca="1">IF(TYPE(VLOOKUP($B9,Start.listina!$AL$11:$BF$138,21,0))=16,"",VLOOKUP($B9,Start.listina!$AL$11:$BF$138,21,0))</f>
        <v>16</v>
      </c>
    </row>
    <row r="10" spans="1:6" ht="22.9" customHeight="1" x14ac:dyDescent="0.4">
      <c r="A10" s="105">
        <v>9</v>
      </c>
      <c r="B10" s="146" t="str">
        <f ca="1">VLOOKUP($A10,Postupy!$A$3:$I$18,9,0)</f>
        <v>12 CdP Loděnice - Marhoul Jan</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Marhoul Jan CdP Loděnice, Paur Jakub CdP Loděnice,             </v>
      </c>
      <c r="D10" s="105">
        <v>9</v>
      </c>
      <c r="F10">
        <f ca="1">IF(TYPE(VLOOKUP($B10,Start.listina!$AL$11:$BF$138,21,0))=16,"",VLOOKUP($B10,Start.listina!$AL$11:$BF$138,21,0))</f>
        <v>12</v>
      </c>
    </row>
    <row r="11" spans="1:6" ht="22.9" customHeight="1" x14ac:dyDescent="0.4">
      <c r="A11" s="105">
        <v>10</v>
      </c>
      <c r="B11" s="146" t="str">
        <f ca="1">VLOOKUP($A11,Postupy!$A$3:$I$18,9,0)</f>
        <v>19 Petank Club Praha - Vorel Jan</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Vorel Jan Petank Club Praha, Čížek Michal Petank Club Praha,             </v>
      </c>
      <c r="D11" s="105">
        <v>10</v>
      </c>
      <c r="F11">
        <f ca="1">IF(TYPE(VLOOKUP($B11,Start.listina!$AL$11:$BF$138,21,0))=16,"",VLOOKUP($B11,Start.listina!$AL$11:$BF$138,21,0))</f>
        <v>19</v>
      </c>
    </row>
    <row r="12" spans="1:6" ht="22.9" customHeight="1" x14ac:dyDescent="0.4">
      <c r="A12" s="105">
        <v>11</v>
      </c>
      <c r="B12" s="146" t="str">
        <f ca="1">VLOOKUP($A12,Postupy!$A$3:$I$18,9,0)</f>
        <v>1 PC Sokol Lipník - Morávek Petr</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Morávek Petr PC Sokol Lipník, Ondryáš Jiří FRAPECO,             </v>
      </c>
      <c r="D12" s="105">
        <v>11</v>
      </c>
      <c r="F12">
        <f ca="1">IF(TYPE(VLOOKUP($B12,Start.listina!$AL$11:$BF$138,21,0))=16,"",VLOOKUP($B12,Start.listina!$AL$11:$BF$138,21,0))</f>
        <v>1</v>
      </c>
    </row>
    <row r="13" spans="1:6" ht="22.9" customHeight="1" x14ac:dyDescent="0.4">
      <c r="A13" s="105">
        <v>12</v>
      </c>
      <c r="B13" s="146" t="str">
        <f ca="1">VLOOKUP($A13,Postupy!$A$3:$I$18,9,0)</f>
        <v>9 PK Osika Plzeň - Mráz Václav</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Mráz Václav PK Osika Plzeň, Špiclová Adéla PK Osika Plzeň,             </v>
      </c>
      <c r="D13" s="105">
        <v>12</v>
      </c>
      <c r="F13">
        <f ca="1">IF(TYPE(VLOOKUP($B13,Start.listina!$AL$11:$BF$138,21,0))=16,"",VLOOKUP($B13,Start.listina!$AL$11:$BF$138,21,0))</f>
        <v>9</v>
      </c>
    </row>
    <row r="14" spans="1:6" ht="22.9" customHeight="1" x14ac:dyDescent="0.4">
      <c r="A14" s="105">
        <v>13</v>
      </c>
      <c r="B14" s="146" t="str">
        <f ca="1">VLOOKUP($A14,Postupy!$A$3:$I$18,9,0)</f>
        <v>10 PC Kolová - Plucar Petr</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Plucar Petr PC Kolová, Plucarová Lenka PC Kolová,             </v>
      </c>
      <c r="D14" s="105">
        <v>13</v>
      </c>
      <c r="F14">
        <f ca="1">IF(TYPE(VLOOKUP($B14,Start.listina!$AL$11:$BF$138,21,0))=16,"",VLOOKUP($B14,Start.listina!$AL$11:$BF$138,21,0))</f>
        <v>10</v>
      </c>
    </row>
    <row r="15" spans="1:6" ht="22.9" customHeight="1" x14ac:dyDescent="0.4">
      <c r="A15" s="105">
        <v>14</v>
      </c>
      <c r="B15" s="146" t="str">
        <f ca="1">VLOOKUP($A15,Postupy!$A$3:$I$18,9,0)</f>
        <v>45 Spolek Park Grébovka - Kremlík Miroslav</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Kremlík Miroslav Spolek Park Grébovka, Hykl Luboš Spolek Park Grébovka,             </v>
      </c>
      <c r="D15" s="105">
        <v>14</v>
      </c>
      <c r="F15">
        <f ca="1">IF(TYPE(VLOOKUP($B15,Start.listina!$AL$11:$BF$138,21,0))=16,"",VLOOKUP($B15,Start.listina!$AL$11:$BF$138,21,0))</f>
        <v>45</v>
      </c>
    </row>
    <row r="16" spans="1:6" ht="22.9" customHeight="1" x14ac:dyDescent="0.4">
      <c r="A16" s="105">
        <v>15</v>
      </c>
      <c r="B16" s="146" t="str">
        <f ca="1">VLOOKUP($A16,Postupy!$A$3:$I$18,9,0)</f>
        <v>43 SK Španielka Řepy - Holoubek Pavel</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Holoubek Pavel SK Španielka Řepy, Hladík Jaroslav SK Španielka Řepy,             </v>
      </c>
      <c r="D16" s="105">
        <v>15</v>
      </c>
      <c r="F16">
        <f ca="1">IF(TYPE(VLOOKUP($B16,Start.listina!$AL$11:$BF$138,21,0))=16,"",VLOOKUP($B16,Start.listina!$AL$11:$BF$138,21,0))</f>
        <v>43</v>
      </c>
    </row>
    <row r="17" spans="1:6" ht="22.9" customHeight="1" thickBot="1" x14ac:dyDescent="0.45">
      <c r="A17" s="106">
        <v>16</v>
      </c>
      <c r="B17" s="147" t="str">
        <f ca="1">VLOOKUP($A17,Postupy!$A$3:$I$18,9,0)</f>
        <v>35 Spolek Park Grébovka - Nepomucký Jaroslav</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Nepomucký Jaroslav Spolek Park Grébovka, Čermák Tomáš Spolek Park Grébovka,             </v>
      </c>
      <c r="D17" s="106">
        <v>16</v>
      </c>
      <c r="F17">
        <f ca="1">IF(TYPE(VLOOKUP($B17,Start.listina!$AL$11:$BF$138,21,0))=16,"",VLOOKUP($B17,Start.listina!$AL$11:$BF$138,21,0))</f>
        <v>35</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996</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734</v>
      </c>
      <c r="B20" s="275" t="s">
        <v>819</v>
      </c>
      <c r="C20" s="16"/>
      <c r="D20" s="16"/>
    </row>
    <row r="21" spans="1:6" x14ac:dyDescent="0.25">
      <c r="A21" s="134"/>
      <c r="B21" s="141" t="s">
        <v>820</v>
      </c>
      <c r="C21" s="16"/>
      <c r="D21" s="16"/>
    </row>
    <row r="22" spans="1:6" x14ac:dyDescent="0.25">
      <c r="A22" s="134"/>
      <c r="B22" s="275" t="s">
        <v>821</v>
      </c>
      <c r="C22" s="16"/>
      <c r="D22" s="16"/>
    </row>
    <row r="23" spans="1:6" x14ac:dyDescent="0.25">
      <c r="A23" s="134"/>
      <c r="B23" s="275" t="s">
        <v>822</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773</v>
      </c>
      <c r="B1" s="89"/>
      <c r="C1" s="89"/>
      <c r="E1" s="89"/>
      <c r="K1" s="92" t="s">
        <v>772</v>
      </c>
      <c r="L1" s="241">
        <f>'Kvalita turnaje'!$F$1</f>
        <v>36.722812499999996</v>
      </c>
    </row>
    <row r="2" spans="1:12" ht="13.5" thickBot="1" x14ac:dyDescent="0.3">
      <c r="A2" s="247">
        <v>1</v>
      </c>
      <c r="B2" s="247">
        <v>2</v>
      </c>
      <c r="C2" s="247">
        <v>3</v>
      </c>
      <c r="D2" s="247">
        <v>4</v>
      </c>
      <c r="E2" s="247">
        <v>5</v>
      </c>
      <c r="F2" s="247">
        <v>6</v>
      </c>
      <c r="G2" s="135" t="s">
        <v>775</v>
      </c>
      <c r="I2" s="93" t="s">
        <v>754</v>
      </c>
      <c r="K2" s="92" t="s">
        <v>770</v>
      </c>
      <c r="L2" s="93">
        <f>IF(TYPE(VLOOKUP(Start.listina!N2,Bonusy!A4:B8,2,0))&gt;3,0,VLOOKUP(Start.listina!N2,Bonusy!A4:B8,2,0))</f>
        <v>0</v>
      </c>
    </row>
    <row r="3" spans="1:12" ht="35.450000000000003" customHeight="1" thickBot="1" x14ac:dyDescent="0.3">
      <c r="A3" s="243" t="s">
        <v>736</v>
      </c>
      <c r="B3" s="232" t="s">
        <v>760</v>
      </c>
      <c r="C3" s="239" t="s">
        <v>763</v>
      </c>
      <c r="D3" s="239" t="s">
        <v>764</v>
      </c>
      <c r="E3" s="239" t="s">
        <v>774</v>
      </c>
      <c r="F3" s="242" t="s">
        <v>752</v>
      </c>
      <c r="G3" s="237" t="s">
        <v>761</v>
      </c>
      <c r="H3" s="238">
        <f>'Počet kol'!$D$3</f>
        <v>6</v>
      </c>
      <c r="I3" s="245">
        <f>Start.listina!$K$7</f>
        <v>51</v>
      </c>
      <c r="K3" s="92" t="s">
        <v>771</v>
      </c>
      <c r="L3" s="93">
        <f>IF(TYPE(VLOOKUP(Start.listina!N2,Paušál!A4:B7,2,0))&gt;3,0,VLOOKUP(Start.listina!N2,Paušál!A4:B7,2,0))</f>
        <v>1</v>
      </c>
    </row>
    <row r="4" spans="1:12" x14ac:dyDescent="0.25">
      <c r="A4" s="244">
        <v>1</v>
      </c>
      <c r="B4" s="240">
        <f>J4*($H$3-C4+D4)</f>
        <v>6</v>
      </c>
      <c r="C4" s="1">
        <v>0</v>
      </c>
      <c r="D4" s="135">
        <v>0</v>
      </c>
      <c r="E4" s="135">
        <f t="shared" ref="E4:E24" si="0">J4*(B4*$L$1+F4)-(J4-1)*$L$3</f>
        <v>220.33687499999996</v>
      </c>
      <c r="F4" s="135">
        <f>IF(A4&lt;$I$3,$L$2,0)</f>
        <v>0</v>
      </c>
      <c r="J4">
        <f t="shared" ref="J4:J25" si="1">IF($I$3&lt;=A4,0,1)</f>
        <v>1</v>
      </c>
    </row>
    <row r="5" spans="1:12" x14ac:dyDescent="0.25">
      <c r="A5" s="244">
        <v>2</v>
      </c>
      <c r="B5" s="240">
        <f>J5*($H$3-C5+D5)</f>
        <v>5</v>
      </c>
      <c r="C5" s="1">
        <v>1</v>
      </c>
      <c r="D5" s="135">
        <v>0</v>
      </c>
      <c r="E5" s="135">
        <f t="shared" si="0"/>
        <v>183.61406249999999</v>
      </c>
      <c r="F5" s="135">
        <f t="shared" ref="F5:F68" si="2">IF(A5&lt;$I$3,$L$2,0)</f>
        <v>0</v>
      </c>
      <c r="J5">
        <f t="shared" si="1"/>
        <v>1</v>
      </c>
    </row>
    <row r="6" spans="1:12" x14ac:dyDescent="0.25">
      <c r="A6" s="244">
        <v>3</v>
      </c>
      <c r="B6" s="240">
        <f t="shared" ref="B6:B69" si="3">J6*($H$3-C6+D6)</f>
        <v>4.5</v>
      </c>
      <c r="C6" s="1">
        <v>2</v>
      </c>
      <c r="D6" s="240">
        <f>1/2</f>
        <v>0.5</v>
      </c>
      <c r="E6" s="135">
        <f t="shared" si="0"/>
        <v>165.25265624999997</v>
      </c>
      <c r="F6" s="135">
        <f t="shared" si="2"/>
        <v>0</v>
      </c>
      <c r="J6">
        <f t="shared" si="1"/>
        <v>1</v>
      </c>
    </row>
    <row r="7" spans="1:12" x14ac:dyDescent="0.25">
      <c r="A7" s="244">
        <v>4</v>
      </c>
      <c r="B7" s="240">
        <f t="shared" si="3"/>
        <v>4</v>
      </c>
      <c r="C7" s="1">
        <v>2</v>
      </c>
      <c r="D7" s="135">
        <v>0</v>
      </c>
      <c r="E7" s="135">
        <f t="shared" si="0"/>
        <v>146.89124999999999</v>
      </c>
      <c r="F7" s="135">
        <f t="shared" si="2"/>
        <v>0</v>
      </c>
      <c r="J7">
        <f t="shared" si="1"/>
        <v>1</v>
      </c>
    </row>
    <row r="8" spans="1:12" x14ac:dyDescent="0.25">
      <c r="A8" s="244">
        <v>5</v>
      </c>
      <c r="B8" s="240">
        <f t="shared" si="3"/>
        <v>3.75</v>
      </c>
      <c r="C8" s="1">
        <v>3</v>
      </c>
      <c r="D8" s="135">
        <f>3/4</f>
        <v>0.75</v>
      </c>
      <c r="E8" s="135">
        <f t="shared" si="0"/>
        <v>137.71054687499998</v>
      </c>
      <c r="F8" s="135">
        <f t="shared" si="2"/>
        <v>0</v>
      </c>
      <c r="J8">
        <f t="shared" si="1"/>
        <v>1</v>
      </c>
    </row>
    <row r="9" spans="1:12" x14ac:dyDescent="0.25">
      <c r="A9" s="244">
        <v>6</v>
      </c>
      <c r="B9" s="240">
        <f t="shared" si="3"/>
        <v>3.5</v>
      </c>
      <c r="C9" s="1">
        <v>3</v>
      </c>
      <c r="D9" s="135">
        <f>2/4</f>
        <v>0.5</v>
      </c>
      <c r="E9" s="135">
        <f t="shared" si="0"/>
        <v>128.52984375</v>
      </c>
      <c r="F9" s="135">
        <f t="shared" si="2"/>
        <v>0</v>
      </c>
      <c r="J9">
        <f t="shared" si="1"/>
        <v>1</v>
      </c>
    </row>
    <row r="10" spans="1:12" x14ac:dyDescent="0.25">
      <c r="A10" s="244">
        <v>7</v>
      </c>
      <c r="B10" s="240">
        <f t="shared" si="3"/>
        <v>3.25</v>
      </c>
      <c r="C10" s="1">
        <v>3</v>
      </c>
      <c r="D10" s="135">
        <f>1/4</f>
        <v>0.25</v>
      </c>
      <c r="E10" s="135">
        <f t="shared" si="0"/>
        <v>119.34914062499999</v>
      </c>
      <c r="F10" s="135">
        <f t="shared" si="2"/>
        <v>0</v>
      </c>
      <c r="J10">
        <f t="shared" si="1"/>
        <v>1</v>
      </c>
    </row>
    <row r="11" spans="1:12" x14ac:dyDescent="0.25">
      <c r="A11" s="244">
        <v>8</v>
      </c>
      <c r="B11" s="240">
        <f t="shared" si="3"/>
        <v>3</v>
      </c>
      <c r="C11" s="1">
        <v>3</v>
      </c>
      <c r="D11" s="135">
        <v>0</v>
      </c>
      <c r="E11" s="135">
        <f t="shared" si="0"/>
        <v>110.16843749999998</v>
      </c>
      <c r="F11" s="135">
        <f t="shared" si="2"/>
        <v>0</v>
      </c>
      <c r="J11">
        <f t="shared" si="1"/>
        <v>1</v>
      </c>
    </row>
    <row r="12" spans="1:12" x14ac:dyDescent="0.25">
      <c r="A12" s="244">
        <v>9</v>
      </c>
      <c r="B12" s="240">
        <f t="shared" si="3"/>
        <v>2.875</v>
      </c>
      <c r="C12" s="1">
        <v>4</v>
      </c>
      <c r="D12" s="135">
        <f>7/8</f>
        <v>0.875</v>
      </c>
      <c r="E12" s="135">
        <f t="shared" si="0"/>
        <v>105.57808593749999</v>
      </c>
      <c r="F12" s="135">
        <f t="shared" si="2"/>
        <v>0</v>
      </c>
      <c r="J12">
        <f t="shared" si="1"/>
        <v>1</v>
      </c>
    </row>
    <row r="13" spans="1:12" x14ac:dyDescent="0.25">
      <c r="A13" s="244">
        <v>10</v>
      </c>
      <c r="B13" s="240">
        <f t="shared" si="3"/>
        <v>2.75</v>
      </c>
      <c r="C13" s="1">
        <v>4</v>
      </c>
      <c r="D13" s="135">
        <f>6/8</f>
        <v>0.75</v>
      </c>
      <c r="E13" s="135">
        <f t="shared" si="0"/>
        <v>100.98773437499999</v>
      </c>
      <c r="F13" s="135">
        <f t="shared" si="2"/>
        <v>0</v>
      </c>
      <c r="J13">
        <f t="shared" si="1"/>
        <v>1</v>
      </c>
    </row>
    <row r="14" spans="1:12" x14ac:dyDescent="0.25">
      <c r="A14" s="244">
        <v>11</v>
      </c>
      <c r="B14" s="240">
        <f t="shared" si="3"/>
        <v>2.625</v>
      </c>
      <c r="C14" s="1">
        <v>4</v>
      </c>
      <c r="D14" s="135">
        <f>5/8</f>
        <v>0.625</v>
      </c>
      <c r="E14" s="135">
        <f t="shared" si="0"/>
        <v>96.397382812499984</v>
      </c>
      <c r="F14" s="135">
        <f t="shared" si="2"/>
        <v>0</v>
      </c>
      <c r="J14">
        <f t="shared" si="1"/>
        <v>1</v>
      </c>
    </row>
    <row r="15" spans="1:12" x14ac:dyDescent="0.25">
      <c r="A15" s="244">
        <v>12</v>
      </c>
      <c r="B15" s="240">
        <f t="shared" si="3"/>
        <v>2.5</v>
      </c>
      <c r="C15" s="1">
        <v>4</v>
      </c>
      <c r="D15" s="135">
        <f>4/8</f>
        <v>0.5</v>
      </c>
      <c r="E15" s="135">
        <f t="shared" si="0"/>
        <v>91.807031249999994</v>
      </c>
      <c r="F15" s="135">
        <f t="shared" si="2"/>
        <v>0</v>
      </c>
      <c r="J15">
        <f t="shared" si="1"/>
        <v>1</v>
      </c>
    </row>
    <row r="16" spans="1:12" x14ac:dyDescent="0.25">
      <c r="A16" s="244">
        <v>13</v>
      </c>
      <c r="B16" s="240">
        <f t="shared" si="3"/>
        <v>2.375</v>
      </c>
      <c r="C16" s="1">
        <v>4</v>
      </c>
      <c r="D16" s="135">
        <f>3/8</f>
        <v>0.375</v>
      </c>
      <c r="E16" s="135">
        <f t="shared" si="0"/>
        <v>87.21667968749999</v>
      </c>
      <c r="F16" s="135">
        <f t="shared" si="2"/>
        <v>0</v>
      </c>
      <c r="J16">
        <f t="shared" si="1"/>
        <v>1</v>
      </c>
    </row>
    <row r="17" spans="1:10" x14ac:dyDescent="0.25">
      <c r="A17" s="244">
        <v>14</v>
      </c>
      <c r="B17" s="240">
        <f t="shared" si="3"/>
        <v>2.25</v>
      </c>
      <c r="C17" s="1">
        <v>4</v>
      </c>
      <c r="D17" s="135">
        <f>2/8</f>
        <v>0.25</v>
      </c>
      <c r="E17" s="135">
        <f t="shared" si="0"/>
        <v>82.626328124999986</v>
      </c>
      <c r="F17" s="135">
        <f t="shared" si="2"/>
        <v>0</v>
      </c>
      <c r="J17">
        <f t="shared" si="1"/>
        <v>1</v>
      </c>
    </row>
    <row r="18" spans="1:10" x14ac:dyDescent="0.25">
      <c r="A18" s="244">
        <v>15</v>
      </c>
      <c r="B18" s="240">
        <f t="shared" si="3"/>
        <v>2.125</v>
      </c>
      <c r="C18" s="1">
        <v>4</v>
      </c>
      <c r="D18" s="135">
        <f>1/8</f>
        <v>0.125</v>
      </c>
      <c r="E18" s="135">
        <f t="shared" si="0"/>
        <v>78.035976562499997</v>
      </c>
      <c r="F18" s="135">
        <f t="shared" si="2"/>
        <v>0</v>
      </c>
      <c r="J18">
        <f t="shared" si="1"/>
        <v>1</v>
      </c>
    </row>
    <row r="19" spans="1:10" x14ac:dyDescent="0.25">
      <c r="A19" s="244">
        <v>16</v>
      </c>
      <c r="B19" s="240">
        <f t="shared" si="3"/>
        <v>2</v>
      </c>
      <c r="C19" s="1">
        <v>4</v>
      </c>
      <c r="D19" s="135">
        <v>0</v>
      </c>
      <c r="E19" s="135">
        <f t="shared" si="0"/>
        <v>73.445624999999993</v>
      </c>
      <c r="F19" s="135">
        <f t="shared" si="2"/>
        <v>0</v>
      </c>
      <c r="J19">
        <f t="shared" si="1"/>
        <v>1</v>
      </c>
    </row>
    <row r="20" spans="1:10" x14ac:dyDescent="0.25">
      <c r="A20" s="244">
        <v>17</v>
      </c>
      <c r="B20" s="240">
        <f t="shared" si="3"/>
        <v>1.9375</v>
      </c>
      <c r="C20" s="1">
        <v>5</v>
      </c>
      <c r="D20" s="135">
        <f>15/16</f>
        <v>0.9375</v>
      </c>
      <c r="E20" s="135">
        <f t="shared" si="0"/>
        <v>71.150449218749998</v>
      </c>
      <c r="F20" s="135">
        <f t="shared" si="2"/>
        <v>0</v>
      </c>
      <c r="J20">
        <f t="shared" si="1"/>
        <v>1</v>
      </c>
    </row>
    <row r="21" spans="1:10" x14ac:dyDescent="0.25">
      <c r="A21" s="244">
        <v>18</v>
      </c>
      <c r="B21" s="240">
        <f t="shared" si="3"/>
        <v>1.875</v>
      </c>
      <c r="C21" s="1">
        <v>5</v>
      </c>
      <c r="D21" s="135">
        <f>14/16</f>
        <v>0.875</v>
      </c>
      <c r="E21" s="135">
        <f t="shared" si="0"/>
        <v>68.855273437499989</v>
      </c>
      <c r="F21" s="135">
        <f t="shared" si="2"/>
        <v>0</v>
      </c>
      <c r="J21">
        <f t="shared" si="1"/>
        <v>1</v>
      </c>
    </row>
    <row r="22" spans="1:10" x14ac:dyDescent="0.25">
      <c r="A22" s="244">
        <v>19</v>
      </c>
      <c r="B22" s="240">
        <f t="shared" si="3"/>
        <v>1.8125</v>
      </c>
      <c r="C22" s="1">
        <v>5</v>
      </c>
      <c r="D22" s="135">
        <f>13/16</f>
        <v>0.8125</v>
      </c>
      <c r="E22" s="135">
        <f t="shared" si="0"/>
        <v>66.560097656249994</v>
      </c>
      <c r="F22" s="135">
        <f t="shared" si="2"/>
        <v>0</v>
      </c>
      <c r="J22">
        <f t="shared" si="1"/>
        <v>1</v>
      </c>
    </row>
    <row r="23" spans="1:10" x14ac:dyDescent="0.25">
      <c r="A23" s="244">
        <v>20</v>
      </c>
      <c r="B23" s="240">
        <f t="shared" si="3"/>
        <v>1.75</v>
      </c>
      <c r="C23" s="1">
        <v>5</v>
      </c>
      <c r="D23" s="135">
        <f>12/16</f>
        <v>0.75</v>
      </c>
      <c r="E23" s="135">
        <f t="shared" si="0"/>
        <v>64.264921874999999</v>
      </c>
      <c r="F23" s="135">
        <f t="shared" si="2"/>
        <v>0</v>
      </c>
      <c r="J23">
        <f t="shared" si="1"/>
        <v>1</v>
      </c>
    </row>
    <row r="24" spans="1:10" x14ac:dyDescent="0.25">
      <c r="A24" s="244">
        <v>21</v>
      </c>
      <c r="B24" s="240">
        <f t="shared" si="3"/>
        <v>1.6875</v>
      </c>
      <c r="C24" s="1">
        <v>5</v>
      </c>
      <c r="D24" s="135">
        <f>11/16</f>
        <v>0.6875</v>
      </c>
      <c r="E24" s="135">
        <f t="shared" si="0"/>
        <v>61.969746093749997</v>
      </c>
      <c r="F24" s="135">
        <f t="shared" si="2"/>
        <v>0</v>
      </c>
      <c r="J24">
        <f t="shared" si="1"/>
        <v>1</v>
      </c>
    </row>
    <row r="25" spans="1:10" x14ac:dyDescent="0.25">
      <c r="A25" s="244">
        <v>22</v>
      </c>
      <c r="B25" s="240">
        <f t="shared" si="3"/>
        <v>1.625</v>
      </c>
      <c r="C25" s="1">
        <v>5</v>
      </c>
      <c r="D25" s="135">
        <f>10/16</f>
        <v>0.625</v>
      </c>
      <c r="E25" s="135">
        <f>J25*(B25*$L$1+F25)-(J25-1)*$L$3</f>
        <v>59.674570312499995</v>
      </c>
      <c r="F25" s="135">
        <f t="shared" si="2"/>
        <v>0</v>
      </c>
      <c r="J25">
        <f t="shared" si="1"/>
        <v>1</v>
      </c>
    </row>
    <row r="26" spans="1:10" x14ac:dyDescent="0.25">
      <c r="A26" s="244">
        <v>23</v>
      </c>
      <c r="B26" s="240">
        <f t="shared" si="3"/>
        <v>1.5625</v>
      </c>
      <c r="C26" s="1">
        <v>5</v>
      </c>
      <c r="D26" s="135">
        <f>9/16</f>
        <v>0.5625</v>
      </c>
      <c r="E26" s="135">
        <f t="shared" ref="E26:E89" si="4">J26*(B26*$L$1+F26)-(J26-1)*$L$3</f>
        <v>57.379394531249993</v>
      </c>
      <c r="F26" s="135">
        <f t="shared" si="2"/>
        <v>0</v>
      </c>
      <c r="J26">
        <f>IF($I$3&lt;=A26,0,1)</f>
        <v>1</v>
      </c>
    </row>
    <row r="27" spans="1:10" x14ac:dyDescent="0.25">
      <c r="A27" s="244">
        <v>24</v>
      </c>
      <c r="B27" s="240">
        <f t="shared" si="3"/>
        <v>1.5</v>
      </c>
      <c r="C27" s="1">
        <v>5</v>
      </c>
      <c r="D27" s="135">
        <f>8/16</f>
        <v>0.5</v>
      </c>
      <c r="E27" s="135">
        <f t="shared" si="4"/>
        <v>55.084218749999991</v>
      </c>
      <c r="F27" s="135">
        <f t="shared" si="2"/>
        <v>0</v>
      </c>
      <c r="J27">
        <f t="shared" ref="J27:J90" si="5">IF($I$3&lt;=A27,0,1)</f>
        <v>1</v>
      </c>
    </row>
    <row r="28" spans="1:10" x14ac:dyDescent="0.25">
      <c r="A28" s="244">
        <v>25</v>
      </c>
      <c r="B28" s="240">
        <f t="shared" si="3"/>
        <v>1.4375</v>
      </c>
      <c r="C28" s="1">
        <v>5</v>
      </c>
      <c r="D28" s="135">
        <f>7/16</f>
        <v>0.4375</v>
      </c>
      <c r="E28" s="135">
        <f t="shared" si="4"/>
        <v>52.789042968749996</v>
      </c>
      <c r="F28" s="135">
        <f t="shared" si="2"/>
        <v>0</v>
      </c>
      <c r="J28">
        <f t="shared" si="5"/>
        <v>1</v>
      </c>
    </row>
    <row r="29" spans="1:10" x14ac:dyDescent="0.25">
      <c r="A29" s="244">
        <v>26</v>
      </c>
      <c r="B29" s="240">
        <f t="shared" si="3"/>
        <v>1.375</v>
      </c>
      <c r="C29" s="1">
        <v>5</v>
      </c>
      <c r="D29" s="135">
        <f>6/16</f>
        <v>0.375</v>
      </c>
      <c r="E29" s="135">
        <f t="shared" si="4"/>
        <v>50.493867187499994</v>
      </c>
      <c r="F29" s="135">
        <f t="shared" si="2"/>
        <v>0</v>
      </c>
      <c r="J29">
        <f t="shared" si="5"/>
        <v>1</v>
      </c>
    </row>
    <row r="30" spans="1:10" x14ac:dyDescent="0.25">
      <c r="A30" s="244">
        <v>27</v>
      </c>
      <c r="B30" s="240">
        <f t="shared" si="3"/>
        <v>1.3125</v>
      </c>
      <c r="C30" s="1">
        <v>5</v>
      </c>
      <c r="D30" s="135">
        <f>5/16</f>
        <v>0.3125</v>
      </c>
      <c r="E30" s="135">
        <f t="shared" si="4"/>
        <v>48.198691406249992</v>
      </c>
      <c r="F30" s="135">
        <f t="shared" si="2"/>
        <v>0</v>
      </c>
      <c r="J30">
        <f t="shared" si="5"/>
        <v>1</v>
      </c>
    </row>
    <row r="31" spans="1:10" x14ac:dyDescent="0.25">
      <c r="A31" s="244">
        <v>28</v>
      </c>
      <c r="B31" s="240">
        <f t="shared" si="3"/>
        <v>1.25</v>
      </c>
      <c r="C31" s="1">
        <v>5</v>
      </c>
      <c r="D31" s="135">
        <f>4/16</f>
        <v>0.25</v>
      </c>
      <c r="E31" s="135">
        <f t="shared" si="4"/>
        <v>45.903515624999997</v>
      </c>
      <c r="F31" s="135">
        <f t="shared" si="2"/>
        <v>0</v>
      </c>
      <c r="J31">
        <f t="shared" si="5"/>
        <v>1</v>
      </c>
    </row>
    <row r="32" spans="1:10" x14ac:dyDescent="0.25">
      <c r="A32" s="244">
        <v>29</v>
      </c>
      <c r="B32" s="240">
        <f t="shared" si="3"/>
        <v>1.1875</v>
      </c>
      <c r="C32" s="1">
        <v>5</v>
      </c>
      <c r="D32" s="135">
        <f>3/16</f>
        <v>0.1875</v>
      </c>
      <c r="E32" s="135">
        <f t="shared" si="4"/>
        <v>43.608339843749995</v>
      </c>
      <c r="F32" s="135">
        <f t="shared" si="2"/>
        <v>0</v>
      </c>
      <c r="J32">
        <f t="shared" si="5"/>
        <v>1</v>
      </c>
    </row>
    <row r="33" spans="1:10" x14ac:dyDescent="0.25">
      <c r="A33" s="244">
        <v>30</v>
      </c>
      <c r="B33" s="240">
        <f t="shared" si="3"/>
        <v>1.125</v>
      </c>
      <c r="C33" s="1">
        <v>5</v>
      </c>
      <c r="D33" s="135">
        <f>2/16</f>
        <v>0.125</v>
      </c>
      <c r="E33" s="135">
        <f t="shared" si="4"/>
        <v>41.313164062499993</v>
      </c>
      <c r="F33" s="135">
        <f t="shared" si="2"/>
        <v>0</v>
      </c>
      <c r="J33">
        <f t="shared" si="5"/>
        <v>1</v>
      </c>
    </row>
    <row r="34" spans="1:10" x14ac:dyDescent="0.25">
      <c r="A34" s="244">
        <v>31</v>
      </c>
      <c r="B34" s="240">
        <f t="shared" si="3"/>
        <v>1.0625</v>
      </c>
      <c r="C34" s="1">
        <v>5</v>
      </c>
      <c r="D34" s="135">
        <f>1/16</f>
        <v>6.25E-2</v>
      </c>
      <c r="E34" s="135">
        <f t="shared" si="4"/>
        <v>39.017988281249998</v>
      </c>
      <c r="F34" s="135">
        <f t="shared" si="2"/>
        <v>0</v>
      </c>
      <c r="J34">
        <f t="shared" si="5"/>
        <v>1</v>
      </c>
    </row>
    <row r="35" spans="1:10" x14ac:dyDescent="0.25">
      <c r="A35" s="244">
        <v>32</v>
      </c>
      <c r="B35" s="240">
        <f t="shared" si="3"/>
        <v>1</v>
      </c>
      <c r="C35" s="1">
        <v>5</v>
      </c>
      <c r="D35" s="135">
        <v>0</v>
      </c>
      <c r="E35" s="135">
        <f t="shared" si="4"/>
        <v>36.722812499999996</v>
      </c>
      <c r="F35" s="135">
        <f t="shared" si="2"/>
        <v>0</v>
      </c>
      <c r="J35">
        <f t="shared" si="5"/>
        <v>1</v>
      </c>
    </row>
    <row r="36" spans="1:10" x14ac:dyDescent="0.25">
      <c r="A36" s="244">
        <v>33</v>
      </c>
      <c r="B36" s="240">
        <f t="shared" si="3"/>
        <v>0.96875</v>
      </c>
      <c r="C36" s="1">
        <v>6</v>
      </c>
      <c r="D36" s="135">
        <f>31/32</f>
        <v>0.96875</v>
      </c>
      <c r="E36" s="135">
        <f t="shared" si="4"/>
        <v>35.575224609374999</v>
      </c>
      <c r="F36" s="135">
        <f t="shared" si="2"/>
        <v>0</v>
      </c>
      <c r="J36">
        <f t="shared" si="5"/>
        <v>1</v>
      </c>
    </row>
    <row r="37" spans="1:10" x14ac:dyDescent="0.25">
      <c r="A37" s="244">
        <v>34</v>
      </c>
      <c r="B37" s="240">
        <f t="shared" si="3"/>
        <v>0.9375</v>
      </c>
      <c r="C37" s="1">
        <v>6</v>
      </c>
      <c r="D37" s="135">
        <f>30/32</f>
        <v>0.9375</v>
      </c>
      <c r="E37" s="135">
        <f t="shared" si="4"/>
        <v>34.427636718749994</v>
      </c>
      <c r="F37" s="135">
        <f t="shared" si="2"/>
        <v>0</v>
      </c>
      <c r="J37">
        <f t="shared" si="5"/>
        <v>1</v>
      </c>
    </row>
    <row r="38" spans="1:10" x14ac:dyDescent="0.25">
      <c r="A38" s="244">
        <v>35</v>
      </c>
      <c r="B38" s="240">
        <f t="shared" si="3"/>
        <v>0.90625</v>
      </c>
      <c r="C38" s="1">
        <v>6</v>
      </c>
      <c r="D38" s="135">
        <f>29/32</f>
        <v>0.90625</v>
      </c>
      <c r="E38" s="135">
        <f t="shared" si="4"/>
        <v>33.280048828124997</v>
      </c>
      <c r="F38" s="135">
        <f t="shared" si="2"/>
        <v>0</v>
      </c>
      <c r="J38">
        <f t="shared" si="5"/>
        <v>1</v>
      </c>
    </row>
    <row r="39" spans="1:10" x14ac:dyDescent="0.25">
      <c r="A39" s="244">
        <v>36</v>
      </c>
      <c r="B39" s="240">
        <f t="shared" si="3"/>
        <v>0.875</v>
      </c>
      <c r="C39" s="1">
        <v>6</v>
      </c>
      <c r="D39" s="135">
        <f>28/32</f>
        <v>0.875</v>
      </c>
      <c r="E39" s="135">
        <f t="shared" si="4"/>
        <v>32.132460937499999</v>
      </c>
      <c r="F39" s="135">
        <f t="shared" si="2"/>
        <v>0</v>
      </c>
      <c r="J39">
        <f t="shared" si="5"/>
        <v>1</v>
      </c>
    </row>
    <row r="40" spans="1:10" x14ac:dyDescent="0.25">
      <c r="A40" s="244">
        <v>37</v>
      </c>
      <c r="B40" s="240">
        <f t="shared" si="3"/>
        <v>0.84375</v>
      </c>
      <c r="C40" s="1">
        <v>6</v>
      </c>
      <c r="D40" s="135">
        <f>27/32</f>
        <v>0.84375</v>
      </c>
      <c r="E40" s="135">
        <f t="shared" si="4"/>
        <v>30.984873046874998</v>
      </c>
      <c r="F40" s="135">
        <f t="shared" si="2"/>
        <v>0</v>
      </c>
      <c r="J40">
        <f t="shared" si="5"/>
        <v>1</v>
      </c>
    </row>
    <row r="41" spans="1:10" x14ac:dyDescent="0.25">
      <c r="A41" s="244">
        <v>38</v>
      </c>
      <c r="B41" s="240">
        <f t="shared" si="3"/>
        <v>0.8125</v>
      </c>
      <c r="C41" s="1">
        <v>6</v>
      </c>
      <c r="D41" s="135">
        <f>26/32</f>
        <v>0.8125</v>
      </c>
      <c r="E41" s="135">
        <f t="shared" si="4"/>
        <v>29.837285156249997</v>
      </c>
      <c r="F41" s="135">
        <f t="shared" si="2"/>
        <v>0</v>
      </c>
      <c r="J41">
        <f t="shared" si="5"/>
        <v>1</v>
      </c>
    </row>
    <row r="42" spans="1:10" x14ac:dyDescent="0.25">
      <c r="A42" s="244">
        <v>39</v>
      </c>
      <c r="B42" s="240">
        <f t="shared" si="3"/>
        <v>0.78125</v>
      </c>
      <c r="C42" s="1">
        <v>6</v>
      </c>
      <c r="D42" s="135">
        <f>25/32</f>
        <v>0.78125</v>
      </c>
      <c r="E42" s="135">
        <f t="shared" si="4"/>
        <v>28.689697265624996</v>
      </c>
      <c r="F42" s="135">
        <f t="shared" si="2"/>
        <v>0</v>
      </c>
      <c r="J42">
        <f t="shared" si="5"/>
        <v>1</v>
      </c>
    </row>
    <row r="43" spans="1:10" x14ac:dyDescent="0.25">
      <c r="A43" s="244">
        <v>40</v>
      </c>
      <c r="B43" s="240">
        <f t="shared" si="3"/>
        <v>0.75</v>
      </c>
      <c r="C43" s="1">
        <v>6</v>
      </c>
      <c r="D43" s="135">
        <f>24/32</f>
        <v>0.75</v>
      </c>
      <c r="E43" s="135">
        <f t="shared" si="4"/>
        <v>27.542109374999995</v>
      </c>
      <c r="F43" s="135">
        <f t="shared" si="2"/>
        <v>0</v>
      </c>
      <c r="J43">
        <f t="shared" si="5"/>
        <v>1</v>
      </c>
    </row>
    <row r="44" spans="1:10" x14ac:dyDescent="0.25">
      <c r="A44" s="244">
        <v>41</v>
      </c>
      <c r="B44" s="240">
        <f t="shared" si="3"/>
        <v>0.71875</v>
      </c>
      <c r="C44" s="1">
        <v>6</v>
      </c>
      <c r="D44" s="135">
        <f>23/32</f>
        <v>0.71875</v>
      </c>
      <c r="E44" s="135">
        <f t="shared" si="4"/>
        <v>26.394521484374998</v>
      </c>
      <c r="F44" s="135">
        <f t="shared" si="2"/>
        <v>0</v>
      </c>
      <c r="J44">
        <f t="shared" si="5"/>
        <v>1</v>
      </c>
    </row>
    <row r="45" spans="1:10" x14ac:dyDescent="0.25">
      <c r="A45" s="244">
        <v>42</v>
      </c>
      <c r="B45" s="240">
        <f t="shared" si="3"/>
        <v>0.6875</v>
      </c>
      <c r="C45" s="1">
        <v>6</v>
      </c>
      <c r="D45" s="135">
        <f>22/32</f>
        <v>0.6875</v>
      </c>
      <c r="E45" s="135">
        <f t="shared" si="4"/>
        <v>25.246933593749997</v>
      </c>
      <c r="F45" s="135">
        <f t="shared" si="2"/>
        <v>0</v>
      </c>
      <c r="J45">
        <f t="shared" si="5"/>
        <v>1</v>
      </c>
    </row>
    <row r="46" spans="1:10" x14ac:dyDescent="0.25">
      <c r="A46" s="244">
        <v>43</v>
      </c>
      <c r="B46" s="240">
        <f t="shared" si="3"/>
        <v>0.65625</v>
      </c>
      <c r="C46" s="1">
        <v>6</v>
      </c>
      <c r="D46" s="135">
        <f>21/32</f>
        <v>0.65625</v>
      </c>
      <c r="E46" s="135">
        <f t="shared" si="4"/>
        <v>24.099345703124996</v>
      </c>
      <c r="F46" s="135">
        <f t="shared" si="2"/>
        <v>0</v>
      </c>
      <c r="J46">
        <f t="shared" si="5"/>
        <v>1</v>
      </c>
    </row>
    <row r="47" spans="1:10" x14ac:dyDescent="0.25">
      <c r="A47" s="244">
        <v>44</v>
      </c>
      <c r="B47" s="240">
        <f t="shared" si="3"/>
        <v>0.625</v>
      </c>
      <c r="C47" s="1">
        <v>6</v>
      </c>
      <c r="D47" s="135">
        <f>20/32</f>
        <v>0.625</v>
      </c>
      <c r="E47" s="135">
        <f t="shared" si="4"/>
        <v>22.951757812499999</v>
      </c>
      <c r="F47" s="135">
        <f t="shared" si="2"/>
        <v>0</v>
      </c>
      <c r="J47">
        <f t="shared" si="5"/>
        <v>1</v>
      </c>
    </row>
    <row r="48" spans="1:10" x14ac:dyDescent="0.25">
      <c r="A48" s="244">
        <v>45</v>
      </c>
      <c r="B48" s="240">
        <f t="shared" si="3"/>
        <v>0.59375</v>
      </c>
      <c r="C48" s="1">
        <v>6</v>
      </c>
      <c r="D48" s="135">
        <f>19/32</f>
        <v>0.59375</v>
      </c>
      <c r="E48" s="135">
        <f t="shared" si="4"/>
        <v>21.804169921874998</v>
      </c>
      <c r="F48" s="135">
        <f t="shared" si="2"/>
        <v>0</v>
      </c>
      <c r="J48">
        <f t="shared" si="5"/>
        <v>1</v>
      </c>
    </row>
    <row r="49" spans="1:10" x14ac:dyDescent="0.25">
      <c r="A49" s="244">
        <v>46</v>
      </c>
      <c r="B49" s="240">
        <f t="shared" si="3"/>
        <v>0.5625</v>
      </c>
      <c r="C49" s="1">
        <v>6</v>
      </c>
      <c r="D49" s="135">
        <f>18/32</f>
        <v>0.5625</v>
      </c>
      <c r="E49" s="135">
        <f t="shared" si="4"/>
        <v>20.656582031249997</v>
      </c>
      <c r="F49" s="135">
        <f t="shared" si="2"/>
        <v>0</v>
      </c>
      <c r="J49">
        <f t="shared" si="5"/>
        <v>1</v>
      </c>
    </row>
    <row r="50" spans="1:10" x14ac:dyDescent="0.25">
      <c r="A50" s="244">
        <v>47</v>
      </c>
      <c r="B50" s="240">
        <f t="shared" si="3"/>
        <v>0.53125</v>
      </c>
      <c r="C50" s="1">
        <v>6</v>
      </c>
      <c r="D50" s="135">
        <f>17/32</f>
        <v>0.53125</v>
      </c>
      <c r="E50" s="135">
        <f t="shared" si="4"/>
        <v>19.508994140624999</v>
      </c>
      <c r="F50" s="135">
        <f t="shared" si="2"/>
        <v>0</v>
      </c>
      <c r="J50">
        <f t="shared" si="5"/>
        <v>1</v>
      </c>
    </row>
    <row r="51" spans="1:10" x14ac:dyDescent="0.25">
      <c r="A51" s="244">
        <v>48</v>
      </c>
      <c r="B51" s="240">
        <f t="shared" si="3"/>
        <v>0.5</v>
      </c>
      <c r="C51" s="1">
        <v>6</v>
      </c>
      <c r="D51" s="135">
        <f>16/32</f>
        <v>0.5</v>
      </c>
      <c r="E51" s="135">
        <f t="shared" si="4"/>
        <v>18.361406249999998</v>
      </c>
      <c r="F51" s="135">
        <f t="shared" si="2"/>
        <v>0</v>
      </c>
      <c r="J51">
        <f t="shared" si="5"/>
        <v>1</v>
      </c>
    </row>
    <row r="52" spans="1:10" x14ac:dyDescent="0.25">
      <c r="A52" s="244">
        <v>49</v>
      </c>
      <c r="B52" s="240">
        <f t="shared" si="3"/>
        <v>0.46875</v>
      </c>
      <c r="C52" s="1">
        <v>6</v>
      </c>
      <c r="D52" s="135">
        <f>15/32</f>
        <v>0.46875</v>
      </c>
      <c r="E52" s="135">
        <f t="shared" si="4"/>
        <v>17.213818359374997</v>
      </c>
      <c r="F52" s="135">
        <f t="shared" si="2"/>
        <v>0</v>
      </c>
      <c r="J52">
        <f t="shared" si="5"/>
        <v>1</v>
      </c>
    </row>
    <row r="53" spans="1:10" x14ac:dyDescent="0.25">
      <c r="A53" s="244">
        <v>50</v>
      </c>
      <c r="B53" s="240">
        <f t="shared" si="3"/>
        <v>0.4375</v>
      </c>
      <c r="C53" s="1">
        <v>6</v>
      </c>
      <c r="D53" s="135">
        <f>14/32</f>
        <v>0.4375</v>
      </c>
      <c r="E53" s="135">
        <f t="shared" si="4"/>
        <v>16.06623046875</v>
      </c>
      <c r="F53" s="135">
        <f t="shared" si="2"/>
        <v>0</v>
      </c>
      <c r="J53">
        <f t="shared" si="5"/>
        <v>1</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768</v>
      </c>
      <c r="B1" s="89"/>
      <c r="C1" s="89"/>
    </row>
    <row r="2" spans="1:3" ht="13.5" thickBot="1" x14ac:dyDescent="0.3"/>
    <row r="3" spans="1:3" ht="26.25" thickBot="1" x14ac:dyDescent="0.3">
      <c r="A3" s="231" t="s">
        <v>766</v>
      </c>
      <c r="B3" s="232" t="s">
        <v>752</v>
      </c>
    </row>
    <row r="4" spans="1:3" x14ac:dyDescent="0.25">
      <c r="A4" s="1" t="s">
        <v>1047</v>
      </c>
      <c r="B4">
        <v>250</v>
      </c>
    </row>
    <row r="5" spans="1:3" x14ac:dyDescent="0.25">
      <c r="A5" s="1" t="s">
        <v>1049</v>
      </c>
      <c r="B5">
        <v>200</v>
      </c>
    </row>
    <row r="6" spans="1:3" x14ac:dyDescent="0.25">
      <c r="A6" s="1" t="s">
        <v>1051</v>
      </c>
      <c r="B6">
        <v>150</v>
      </c>
    </row>
    <row r="7" spans="1:3" x14ac:dyDescent="0.25">
      <c r="A7" s="1" t="s">
        <v>1050</v>
      </c>
      <c r="B7">
        <v>100</v>
      </c>
    </row>
    <row r="8" spans="1:3" x14ac:dyDescent="0.25">
      <c r="A8" s="1" t="s">
        <v>1054</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765</v>
      </c>
      <c r="B1" s="89"/>
      <c r="C1" s="89"/>
    </row>
    <row r="2" spans="1:5" ht="13.5" thickBot="1" x14ac:dyDescent="0.3"/>
    <row r="3" spans="1:5" ht="26.25" thickBot="1" x14ac:dyDescent="0.3">
      <c r="A3" s="231" t="s">
        <v>766</v>
      </c>
      <c r="B3" s="232" t="s">
        <v>767</v>
      </c>
    </row>
    <row r="4" spans="1:5" x14ac:dyDescent="0.25">
      <c r="A4" s="1" t="s">
        <v>1049</v>
      </c>
      <c r="B4">
        <v>20</v>
      </c>
      <c r="E4" t="s">
        <v>1054</v>
      </c>
    </row>
    <row r="5" spans="1:5" x14ac:dyDescent="0.25">
      <c r="A5" s="1" t="s">
        <v>1051</v>
      </c>
      <c r="B5">
        <v>15</v>
      </c>
    </row>
    <row r="6" spans="1:5" x14ac:dyDescent="0.25">
      <c r="A6" s="1" t="s">
        <v>1050</v>
      </c>
      <c r="B6">
        <v>10</v>
      </c>
    </row>
    <row r="7" spans="1:5" x14ac:dyDescent="0.25">
      <c r="A7" s="1" t="s">
        <v>922</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656</v>
      </c>
      <c r="B1" s="71"/>
      <c r="C1" s="72"/>
    </row>
    <row r="2" spans="1:3" x14ac:dyDescent="0.25">
      <c r="A2" t="s">
        <v>657</v>
      </c>
    </row>
    <row r="3" spans="1:3" ht="13.5" thickBot="1" x14ac:dyDescent="0.3"/>
    <row r="4" spans="1:3" x14ac:dyDescent="0.25">
      <c r="A4" s="111" t="s">
        <v>658</v>
      </c>
      <c r="B4" s="112" t="s">
        <v>659</v>
      </c>
      <c r="C4" s="113" t="s">
        <v>660</v>
      </c>
    </row>
    <row r="5" spans="1:3" ht="13.5" thickBot="1" x14ac:dyDescent="0.3">
      <c r="A5" s="114" t="s">
        <v>1077</v>
      </c>
      <c r="B5" s="115"/>
      <c r="C5" s="116"/>
    </row>
    <row r="6" spans="1:3" ht="15.75" x14ac:dyDescent="0.25">
      <c r="A6" s="117" t="s">
        <v>661</v>
      </c>
      <c r="B6" s="118" t="s">
        <v>1084</v>
      </c>
      <c r="C6" s="119" t="s">
        <v>1051</v>
      </c>
    </row>
    <row r="7" spans="1:3" ht="15.75" x14ac:dyDescent="0.25">
      <c r="A7" s="120" t="s">
        <v>662</v>
      </c>
      <c r="B7" s="121" t="s">
        <v>1106</v>
      </c>
      <c r="C7" s="119" t="s">
        <v>1052</v>
      </c>
    </row>
    <row r="8" spans="1:3" ht="15.75" x14ac:dyDescent="0.25">
      <c r="A8" s="120" t="s">
        <v>663</v>
      </c>
      <c r="B8" s="122" t="s">
        <v>1104</v>
      </c>
      <c r="C8" s="119" t="s">
        <v>1053</v>
      </c>
    </row>
    <row r="9" spans="1:3" ht="15.75" x14ac:dyDescent="0.25">
      <c r="A9" s="120" t="s">
        <v>664</v>
      </c>
      <c r="B9" s="121" t="s">
        <v>1087</v>
      </c>
      <c r="C9" s="119" t="s">
        <v>1053</v>
      </c>
    </row>
    <row r="10" spans="1:3" ht="15.75" x14ac:dyDescent="0.25">
      <c r="A10" s="120" t="s">
        <v>665</v>
      </c>
      <c r="B10" s="121" t="s">
        <v>666</v>
      </c>
      <c r="C10" s="119" t="s">
        <v>1051</v>
      </c>
    </row>
    <row r="11" spans="1:3" ht="15.75" x14ac:dyDescent="0.25">
      <c r="A11" s="120" t="s">
        <v>667</v>
      </c>
      <c r="B11" s="121" t="s">
        <v>1105</v>
      </c>
      <c r="C11" s="119" t="s">
        <v>1053</v>
      </c>
    </row>
    <row r="12" spans="1:3" ht="15.75" x14ac:dyDescent="0.25">
      <c r="A12" s="120" t="s">
        <v>668</v>
      </c>
      <c r="B12" s="121" t="s">
        <v>669</v>
      </c>
      <c r="C12" s="119" t="s">
        <v>1052</v>
      </c>
    </row>
    <row r="13" spans="1:3" ht="15.75" x14ac:dyDescent="0.25">
      <c r="A13" s="120" t="s">
        <v>670</v>
      </c>
      <c r="B13" s="122" t="s">
        <v>1096</v>
      </c>
      <c r="C13" s="119" t="s">
        <v>1051</v>
      </c>
    </row>
    <row r="14" spans="1:3" ht="15.75" x14ac:dyDescent="0.25">
      <c r="A14" s="120" t="s">
        <v>671</v>
      </c>
      <c r="B14" s="121" t="s">
        <v>1091</v>
      </c>
      <c r="C14" s="119" t="s">
        <v>1052</v>
      </c>
    </row>
    <row r="15" spans="1:3" ht="15.75" x14ac:dyDescent="0.25">
      <c r="A15" s="120" t="s">
        <v>672</v>
      </c>
      <c r="B15" s="121" t="s">
        <v>1101</v>
      </c>
      <c r="C15" s="119" t="s">
        <v>1052</v>
      </c>
    </row>
    <row r="16" spans="1:3" ht="15.75" x14ac:dyDescent="0.25">
      <c r="A16" s="120" t="s">
        <v>673</v>
      </c>
      <c r="B16" s="121" t="s">
        <v>674</v>
      </c>
      <c r="C16" s="119" t="s">
        <v>1052</v>
      </c>
    </row>
    <row r="17" spans="1:3" ht="15.75" x14ac:dyDescent="0.25">
      <c r="A17" s="120" t="s">
        <v>675</v>
      </c>
      <c r="B17" s="121" t="s">
        <v>676</v>
      </c>
      <c r="C17" s="119" t="s">
        <v>1052</v>
      </c>
    </row>
    <row r="18" spans="1:3" ht="15.75" x14ac:dyDescent="0.25">
      <c r="A18" s="120" t="s">
        <v>677</v>
      </c>
      <c r="B18" s="122" t="s">
        <v>678</v>
      </c>
      <c r="C18" s="119" t="s">
        <v>1052</v>
      </c>
    </row>
    <row r="19" spans="1:3" ht="15.75" x14ac:dyDescent="0.25">
      <c r="A19" s="120" t="s">
        <v>679</v>
      </c>
      <c r="B19" s="122" t="s">
        <v>680</v>
      </c>
      <c r="C19" s="119" t="s">
        <v>1053</v>
      </c>
    </row>
    <row r="20" spans="1:3" ht="15.75" x14ac:dyDescent="0.25">
      <c r="A20" s="120" t="s">
        <v>681</v>
      </c>
      <c r="B20" s="121" t="s">
        <v>682</v>
      </c>
      <c r="C20" s="119" t="s">
        <v>1051</v>
      </c>
    </row>
    <row r="21" spans="1:3" ht="15.75" x14ac:dyDescent="0.25">
      <c r="A21" s="120" t="s">
        <v>683</v>
      </c>
      <c r="B21" s="121" t="s">
        <v>1083</v>
      </c>
      <c r="C21" s="119" t="s">
        <v>1051</v>
      </c>
    </row>
    <row r="22" spans="1:3" ht="15.75" x14ac:dyDescent="0.25">
      <c r="A22" s="120" t="s">
        <v>684</v>
      </c>
      <c r="B22" s="122" t="s">
        <v>1086</v>
      </c>
      <c r="C22" s="119" t="s">
        <v>1052</v>
      </c>
    </row>
    <row r="23" spans="1:3" ht="15.75" x14ac:dyDescent="0.25">
      <c r="A23" s="120" t="s">
        <v>685</v>
      </c>
      <c r="B23" s="122" t="s">
        <v>1102</v>
      </c>
      <c r="C23" s="119" t="s">
        <v>1053</v>
      </c>
    </row>
    <row r="24" spans="1:3" ht="15.75" x14ac:dyDescent="0.25">
      <c r="A24" s="120" t="s">
        <v>686</v>
      </c>
      <c r="B24" s="121" t="s">
        <v>1098</v>
      </c>
      <c r="C24" s="119" t="s">
        <v>1053</v>
      </c>
    </row>
    <row r="25" spans="1:3" ht="15.75" x14ac:dyDescent="0.25">
      <c r="A25" s="120" t="s">
        <v>687</v>
      </c>
      <c r="B25" s="121" t="s">
        <v>1100</v>
      </c>
      <c r="C25" s="119" t="s">
        <v>1052</v>
      </c>
    </row>
    <row r="26" spans="1:3" ht="15.75" x14ac:dyDescent="0.25">
      <c r="A26" s="120" t="s">
        <v>688</v>
      </c>
      <c r="B26" s="121" t="s">
        <v>1090</v>
      </c>
      <c r="C26" s="119" t="s">
        <v>1052</v>
      </c>
    </row>
    <row r="27" spans="1:3" ht="15.75" x14ac:dyDescent="0.25">
      <c r="A27" s="120" t="s">
        <v>689</v>
      </c>
      <c r="B27" s="122" t="s">
        <v>1085</v>
      </c>
      <c r="C27" s="119" t="s">
        <v>1052</v>
      </c>
    </row>
    <row r="28" spans="1:3" ht="15.75" x14ac:dyDescent="0.25">
      <c r="A28" s="120" t="s">
        <v>690</v>
      </c>
      <c r="B28" s="121" t="s">
        <v>1092</v>
      </c>
      <c r="C28" s="119" t="s">
        <v>1052</v>
      </c>
    </row>
    <row r="29" spans="1:3" ht="15.75" x14ac:dyDescent="0.25">
      <c r="A29" s="120" t="s">
        <v>691</v>
      </c>
      <c r="B29" s="121" t="s">
        <v>692</v>
      </c>
      <c r="C29" s="119" t="s">
        <v>1053</v>
      </c>
    </row>
    <row r="30" spans="1:3" ht="15.75" x14ac:dyDescent="0.25">
      <c r="A30" s="120" t="s">
        <v>693</v>
      </c>
      <c r="B30" s="121" t="s">
        <v>694</v>
      </c>
      <c r="C30" s="119" t="s">
        <v>1051</v>
      </c>
    </row>
    <row r="31" spans="1:3" ht="15.75" x14ac:dyDescent="0.25">
      <c r="A31" s="120" t="s">
        <v>695</v>
      </c>
      <c r="B31" s="121" t="s">
        <v>696</v>
      </c>
      <c r="C31" s="119" t="s">
        <v>1052</v>
      </c>
    </row>
    <row r="32" spans="1:3" ht="15.75" x14ac:dyDescent="0.25">
      <c r="A32" s="123" t="s">
        <v>697</v>
      </c>
      <c r="B32" s="124" t="s">
        <v>698</v>
      </c>
      <c r="C32" s="119" t="s">
        <v>1053</v>
      </c>
    </row>
    <row r="33" spans="1:3" ht="15.75" x14ac:dyDescent="0.25">
      <c r="A33" s="123" t="s">
        <v>699</v>
      </c>
      <c r="B33" s="124" t="s">
        <v>700</v>
      </c>
      <c r="C33" s="119" t="s">
        <v>1053</v>
      </c>
    </row>
    <row r="34" spans="1:3" ht="15.75" x14ac:dyDescent="0.25">
      <c r="A34" s="123" t="s">
        <v>701</v>
      </c>
      <c r="B34" s="124" t="s">
        <v>702</v>
      </c>
      <c r="C34" s="119" t="s">
        <v>1051</v>
      </c>
    </row>
    <row r="35" spans="1:3" ht="15.75" x14ac:dyDescent="0.25">
      <c r="A35" s="123" t="s">
        <v>703</v>
      </c>
      <c r="B35" s="124" t="s">
        <v>704</v>
      </c>
      <c r="C35" s="119" t="s">
        <v>1053</v>
      </c>
    </row>
    <row r="36" spans="1:3" ht="15.75" x14ac:dyDescent="0.25">
      <c r="A36" s="123" t="s">
        <v>705</v>
      </c>
      <c r="B36" s="124" t="s">
        <v>706</v>
      </c>
      <c r="C36" s="119" t="s">
        <v>1053</v>
      </c>
    </row>
    <row r="37" spans="1:3" ht="15.75" x14ac:dyDescent="0.25">
      <c r="A37" s="123" t="s">
        <v>707</v>
      </c>
      <c r="B37" s="124" t="s">
        <v>708</v>
      </c>
      <c r="C37" s="119" t="s">
        <v>1053</v>
      </c>
    </row>
    <row r="38" spans="1:3" ht="15.75" x14ac:dyDescent="0.25">
      <c r="A38" s="123" t="s">
        <v>709</v>
      </c>
      <c r="B38" s="124" t="s">
        <v>1097</v>
      </c>
      <c r="C38" s="119" t="s">
        <v>1053</v>
      </c>
    </row>
    <row r="39" spans="1:3" ht="15.75" x14ac:dyDescent="0.25">
      <c r="A39" s="123" t="s">
        <v>710</v>
      </c>
      <c r="B39" s="124" t="s">
        <v>1099</v>
      </c>
      <c r="C39" s="119" t="s">
        <v>1051</v>
      </c>
    </row>
    <row r="40" spans="1:3" ht="15.75" x14ac:dyDescent="0.25">
      <c r="A40" s="123" t="s">
        <v>711</v>
      </c>
      <c r="B40" s="124" t="s">
        <v>1094</v>
      </c>
      <c r="C40" s="119" t="s">
        <v>1053</v>
      </c>
    </row>
    <row r="41" spans="1:3" ht="15.75" x14ac:dyDescent="0.25">
      <c r="A41" s="123" t="s">
        <v>712</v>
      </c>
      <c r="B41" s="124" t="s">
        <v>713</v>
      </c>
      <c r="C41" s="119" t="s">
        <v>1051</v>
      </c>
    </row>
    <row r="42" spans="1:3" ht="15.75" x14ac:dyDescent="0.25">
      <c r="A42" s="123" t="s">
        <v>714</v>
      </c>
      <c r="B42" s="124" t="s">
        <v>1082</v>
      </c>
      <c r="C42" s="119" t="s">
        <v>1053</v>
      </c>
    </row>
    <row r="43" spans="1:3" ht="15.75" x14ac:dyDescent="0.25">
      <c r="A43" s="123" t="s">
        <v>715</v>
      </c>
      <c r="B43" s="124" t="s">
        <v>716</v>
      </c>
      <c r="C43" s="119" t="s">
        <v>1053</v>
      </c>
    </row>
    <row r="44" spans="1:3" ht="15.75" x14ac:dyDescent="0.25">
      <c r="A44" s="123" t="s">
        <v>717</v>
      </c>
      <c r="B44" s="124" t="s">
        <v>1089</v>
      </c>
      <c r="C44" s="119" t="s">
        <v>1053</v>
      </c>
    </row>
    <row r="45" spans="1:3" ht="15.75" x14ac:dyDescent="0.25">
      <c r="A45" s="123" t="s">
        <v>718</v>
      </c>
      <c r="B45" s="124" t="s">
        <v>1103</v>
      </c>
      <c r="C45" s="119" t="s">
        <v>1051</v>
      </c>
    </row>
    <row r="46" spans="1:3" ht="15.75" x14ac:dyDescent="0.25">
      <c r="A46" s="123" t="s">
        <v>719</v>
      </c>
      <c r="B46" s="124" t="s">
        <v>1093</v>
      </c>
      <c r="C46" s="119" t="s">
        <v>1053</v>
      </c>
    </row>
    <row r="47" spans="1:3" ht="15.75" x14ac:dyDescent="0.25">
      <c r="A47" s="123" t="s">
        <v>720</v>
      </c>
      <c r="B47" s="124" t="s">
        <v>1081</v>
      </c>
      <c r="C47" s="119" t="s">
        <v>1053</v>
      </c>
    </row>
    <row r="48" spans="1:3" ht="15.75" x14ac:dyDescent="0.25">
      <c r="A48" s="123" t="s">
        <v>721</v>
      </c>
      <c r="B48" s="124" t="s">
        <v>722</v>
      </c>
      <c r="C48" s="119" t="s">
        <v>1053</v>
      </c>
    </row>
    <row r="49" spans="1:3" ht="15.75" x14ac:dyDescent="0.25">
      <c r="A49" s="123" t="s">
        <v>723</v>
      </c>
      <c r="B49" s="124" t="s">
        <v>1095</v>
      </c>
      <c r="C49" s="119" t="s">
        <v>1051</v>
      </c>
    </row>
    <row r="50" spans="1:3" ht="15.75" x14ac:dyDescent="0.25">
      <c r="A50" s="123" t="s">
        <v>724</v>
      </c>
      <c r="B50" s="124" t="s">
        <v>1088</v>
      </c>
      <c r="C50" s="119" t="s">
        <v>1051</v>
      </c>
    </row>
    <row r="51" spans="1:3" ht="15.75" x14ac:dyDescent="0.25">
      <c r="A51" s="123" t="s">
        <v>776</v>
      </c>
      <c r="B51" s="124" t="s">
        <v>777</v>
      </c>
      <c r="C51" s="119" t="s">
        <v>1053</v>
      </c>
    </row>
    <row r="52" spans="1:3" ht="15.75" x14ac:dyDescent="0.25">
      <c r="A52" s="123" t="s">
        <v>778</v>
      </c>
      <c r="B52" s="124" t="s">
        <v>779</v>
      </c>
      <c r="C52" s="119" t="s">
        <v>1053</v>
      </c>
    </row>
    <row r="53" spans="1:3" ht="15.75" x14ac:dyDescent="0.25">
      <c r="A53" s="123" t="s">
        <v>780</v>
      </c>
      <c r="B53" s="124" t="s">
        <v>781</v>
      </c>
      <c r="C53" s="119" t="s">
        <v>1052</v>
      </c>
    </row>
  </sheetData>
  <sheetProtection sheet="1" objects="1" scenarios="1"/>
  <phoneticPr fontId="0" type="noConversion"/>
  <conditionalFormatting sqref="C6:C53">
    <cfRule type="cellIs" dxfId="124" priority="1" stopIfTrue="1" operator="equal">
      <formula>"V"</formula>
    </cfRule>
    <cfRule type="cellIs" dxfId="123"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759</v>
      </c>
      <c r="B1" s="89"/>
      <c r="C1" s="89"/>
      <c r="D1" s="89"/>
      <c r="E1" s="89"/>
    </row>
    <row r="2" spans="1:9" ht="13.5" thickBot="1" x14ac:dyDescent="0.3"/>
    <row r="3" spans="1:9" ht="31.15" customHeight="1" thickTop="1" thickBot="1" x14ac:dyDescent="0.3">
      <c r="A3" s="231" t="s">
        <v>756</v>
      </c>
      <c r="B3" s="232" t="s">
        <v>757</v>
      </c>
      <c r="C3" s="233" t="s">
        <v>758</v>
      </c>
      <c r="D3" s="235">
        <f>MAX(D4:D8)</f>
        <v>6</v>
      </c>
      <c r="E3" s="234" t="s">
        <v>762</v>
      </c>
      <c r="F3" s="236">
        <f>Start.listina!$K$7</f>
        <v>51</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1059</v>
      </c>
      <c r="B1" s="6"/>
      <c r="C1" s="6"/>
      <c r="D1" s="67"/>
      <c r="E1" s="68"/>
      <c r="F1" s="4"/>
      <c r="G1" s="83">
        <f>'Kvalita turnaje'!$F$1</f>
        <v>36.722812499999996</v>
      </c>
      <c r="H1" s="93" t="s">
        <v>755</v>
      </c>
      <c r="I1" s="4"/>
    </row>
    <row r="2" spans="1:9" ht="27.75" customHeight="1" thickBot="1" x14ac:dyDescent="0.3">
      <c r="A2" s="69">
        <f>Start.listina!$K$2</f>
        <v>16040</v>
      </c>
      <c r="B2" s="70" t="str">
        <f>Start.listina!$K$4</f>
        <v>Memoriál CdP Loděnice</v>
      </c>
      <c r="C2" s="71"/>
      <c r="D2" s="72"/>
      <c r="E2" s="9" t="str">
        <f>Start.listina!$K$3</f>
        <v>16.07.2016</v>
      </c>
      <c r="G2" s="136">
        <f>Start.listina!$K$7</f>
        <v>51</v>
      </c>
      <c r="H2" s="93" t="s">
        <v>754</v>
      </c>
      <c r="I2" s="4"/>
    </row>
    <row r="3" spans="1:9" ht="21.75" customHeight="1" thickBot="1" x14ac:dyDescent="0.3">
      <c r="A3" s="4"/>
      <c r="B3" s="4"/>
      <c r="C3" s="4"/>
      <c r="D3" s="4"/>
      <c r="E3" s="4"/>
      <c r="F3" s="4"/>
      <c r="G3" s="4"/>
      <c r="H3" s="4"/>
      <c r="I3" s="4"/>
    </row>
    <row r="4" spans="1:9" ht="24.75" customHeight="1" thickBot="1" x14ac:dyDescent="0.3">
      <c r="A4" s="249" t="s">
        <v>1060</v>
      </c>
      <c r="B4" s="248" t="s">
        <v>1025</v>
      </c>
      <c r="C4" s="248" t="s">
        <v>1061</v>
      </c>
      <c r="D4" s="248" t="s">
        <v>1026</v>
      </c>
      <c r="E4" s="248" t="s">
        <v>1027</v>
      </c>
      <c r="F4" s="248"/>
      <c r="G4" s="248" t="s">
        <v>1062</v>
      </c>
      <c r="H4" s="248" t="s">
        <v>752</v>
      </c>
      <c r="I4" s="250" t="s">
        <v>782</v>
      </c>
    </row>
    <row r="5" spans="1:9" x14ac:dyDescent="0.25">
      <c r="A5" s="13">
        <f ca="1">Start.listina!AH11</f>
        <v>11</v>
      </c>
      <c r="B5" s="13">
        <f>Start.listina!I11</f>
        <v>98446</v>
      </c>
      <c r="C5" s="13" t="str">
        <f>Start.listina!J11</f>
        <v>Morávek</v>
      </c>
      <c r="D5" s="13" t="str">
        <f>Start.listina!K11</f>
        <v>Petr</v>
      </c>
      <c r="E5" s="13" t="str">
        <f>Start.listina!L11</f>
        <v>PC Sokol Lipník</v>
      </c>
      <c r="F5" s="13"/>
      <c r="G5" s="90">
        <f ca="1">IF(N(A5)&gt;0,VLOOKUP(A5,Body!$A$4:$F$259,5,0),"")</f>
        <v>96.397382812499984</v>
      </c>
      <c r="H5" s="4">
        <f ca="1">IF(N(A5)&gt;0,VLOOKUP(A5,Body!$A$4:$F$259,6,0),"")</f>
        <v>0</v>
      </c>
      <c r="I5" s="4">
        <f ca="1">IF(N(A5)&gt;0,VLOOKUP(A5,Body!$A$4:$F$259,2,0),"")</f>
        <v>2.625</v>
      </c>
    </row>
    <row r="6" spans="1:9" x14ac:dyDescent="0.25">
      <c r="A6" s="13"/>
      <c r="B6" s="13">
        <f>Start.listina!O11</f>
        <v>23021</v>
      </c>
      <c r="C6" s="13" t="str">
        <f>Start.listina!P11</f>
        <v>Ondryáš</v>
      </c>
      <c r="D6" s="13" t="str">
        <f>Start.listina!Q11</f>
        <v>Jiří</v>
      </c>
      <c r="E6" s="13" t="str">
        <f>Start.listina!R11</f>
        <v>FRAPECO</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2</v>
      </c>
      <c r="B9" s="13">
        <f>Start.listina!I12</f>
        <v>12020</v>
      </c>
      <c r="C9" s="13" t="str">
        <f>Start.listina!J12</f>
        <v>Fafek</v>
      </c>
      <c r="D9" s="13" t="str">
        <f>Start.listina!K12</f>
        <v>Petr</v>
      </c>
      <c r="E9" s="13" t="str">
        <f>Start.listina!L12</f>
        <v>PC Sokol Lipník</v>
      </c>
      <c r="F9" s="13"/>
      <c r="G9" s="90">
        <f ca="1">IF(N(A9)&gt;0,VLOOKUP(A9,Body!$A$4:$F$259,5,0),"")</f>
        <v>183.61406249999999</v>
      </c>
      <c r="H9" s="4">
        <f ca="1">IF(N(A9)&gt;0,VLOOKUP(A9,Body!$A$4:$F$259,6,0),"")</f>
        <v>0</v>
      </c>
      <c r="I9" s="4">
        <f ca="1">IF(N(A9)&gt;0,VLOOKUP(A9,Body!$A$4:$F$259,2,0),"")</f>
        <v>5</v>
      </c>
    </row>
    <row r="10" spans="1:9" x14ac:dyDescent="0.25">
      <c r="A10" s="13"/>
      <c r="B10" s="13">
        <f>Start.listina!O12</f>
        <v>14060</v>
      </c>
      <c r="C10" s="13" t="str">
        <f>Start.listina!P12</f>
        <v>Hladký</v>
      </c>
      <c r="D10" s="13" t="str">
        <f>Start.listina!Q12</f>
        <v>Jaroslav</v>
      </c>
      <c r="E10" s="13" t="str">
        <f>Start.listina!R12</f>
        <v>1. KPK Vrchlabí</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4</v>
      </c>
      <c r="B13" s="13">
        <f>Start.listina!I13</f>
        <v>14076</v>
      </c>
      <c r="C13" s="13" t="str">
        <f>Start.listina!J13</f>
        <v>Klír</v>
      </c>
      <c r="D13" s="13" t="str">
        <f>Start.listina!K13</f>
        <v>Tomáš</v>
      </c>
      <c r="E13" s="13" t="str">
        <f>Start.listina!L13</f>
        <v>Petank Club Praha</v>
      </c>
      <c r="F13" s="13"/>
      <c r="G13" s="90">
        <f ca="1">IF(N(A13)&gt;0,VLOOKUP(A13,Body!$A$4:$F$259,5,0),"")</f>
        <v>146.89124999999999</v>
      </c>
      <c r="H13" s="4">
        <f ca="1">IF(N(A13)&gt;0,VLOOKUP(A13,Body!$A$4:$F$259,6,0),"")</f>
        <v>0</v>
      </c>
      <c r="I13" s="4">
        <f ca="1">IF(N(A13)&gt;0,VLOOKUP(A13,Body!$A$4:$F$259,2,0),"")</f>
        <v>4</v>
      </c>
    </row>
    <row r="14" spans="1:9" x14ac:dyDescent="0.25">
      <c r="A14" s="13"/>
      <c r="B14" s="13">
        <f>Start.listina!O13</f>
        <v>24218</v>
      </c>
      <c r="C14" s="13" t="str">
        <f>Start.listina!P13</f>
        <v>Fuksa</v>
      </c>
      <c r="D14" s="13" t="str">
        <f>Start.listina!Q13</f>
        <v>Petr</v>
      </c>
      <c r="E14" s="13" t="str">
        <f>Start.listina!R13</f>
        <v>UBU Únětice</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Start.listina!AH14</f>
        <v>17</v>
      </c>
      <c r="B17" s="13">
        <f>Start.listina!I14</f>
        <v>26011</v>
      </c>
      <c r="C17" s="13" t="str">
        <f>Start.listina!J14</f>
        <v>Brázda</v>
      </c>
      <c r="D17" s="13" t="str">
        <f>Start.listina!K14</f>
        <v>Vladimír</v>
      </c>
      <c r="E17" s="13" t="str">
        <f>Start.listina!L14</f>
        <v>1. KPK Vrchlabí</v>
      </c>
      <c r="F17" s="13"/>
      <c r="G17" s="90">
        <f>IF(N(A17)&gt;0,VLOOKUP(A17,Body!$A$4:$F$259,5,0),"")</f>
        <v>71.150449218749998</v>
      </c>
      <c r="H17" s="4">
        <f>IF(N(A17)&gt;0,VLOOKUP(A17,Body!$A$4:$F$259,6,0),"")</f>
        <v>0</v>
      </c>
      <c r="I17" s="4">
        <f>IF(N(A17)&gt;0,VLOOKUP(A17,Body!$A$4:$F$259,2,0),"")</f>
        <v>1.9375</v>
      </c>
    </row>
    <row r="18" spans="1:9" x14ac:dyDescent="0.25">
      <c r="A18" s="13"/>
      <c r="B18" s="13">
        <f>Start.listina!O14</f>
        <v>27069</v>
      </c>
      <c r="C18" s="13" t="str">
        <f>Start.listina!P14</f>
        <v>Preuss</v>
      </c>
      <c r="D18" s="13" t="str">
        <f>Start.listina!Q14</f>
        <v>Michal</v>
      </c>
      <c r="E18" s="13" t="str">
        <f>Start.listina!R14</f>
        <v>POP Praha</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Start.listina!AH15</f>
        <v>29</v>
      </c>
      <c r="B21" s="13">
        <f>Start.listina!I15</f>
        <v>21754</v>
      </c>
      <c r="C21" s="13" t="str">
        <f>Start.listina!J15</f>
        <v>Valenz</v>
      </c>
      <c r="D21" s="13" t="str">
        <f>Start.listina!K15</f>
        <v>Jan</v>
      </c>
      <c r="E21" s="13" t="str">
        <f>Start.listina!L15</f>
        <v>PK Osika Plzeň</v>
      </c>
      <c r="F21" s="13"/>
      <c r="G21" s="90">
        <f>IF(N(A21)&gt;0,VLOOKUP(A21,Body!$A$4:$F$259,5,0),"")</f>
        <v>43.608339843749995</v>
      </c>
      <c r="H21" s="4">
        <f>IF(N(A21)&gt;0,VLOOKUP(A21,Body!$A$4:$F$259,6,0),"")</f>
        <v>0</v>
      </c>
      <c r="I21" s="4">
        <f>IF(N(A21)&gt;0,VLOOKUP(A21,Body!$A$4:$F$259,2,0),"")</f>
        <v>1.1875</v>
      </c>
    </row>
    <row r="22" spans="1:9" x14ac:dyDescent="0.25">
      <c r="A22" s="13"/>
      <c r="B22" s="13">
        <f>Start.listina!O15</f>
        <v>25017</v>
      </c>
      <c r="C22" s="13" t="str">
        <f>Start.listina!P15</f>
        <v>Radoušová</v>
      </c>
      <c r="D22" s="13" t="str">
        <f>Start.listina!Q15</f>
        <v>Jana</v>
      </c>
      <c r="E22" s="13" t="str">
        <f>Start.listina!R15</f>
        <v>PK Osika Plzeň</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5</v>
      </c>
      <c r="B25" s="13">
        <f>Start.listina!I16</f>
        <v>99574</v>
      </c>
      <c r="C25" s="13" t="str">
        <f>Start.listina!J16</f>
        <v>Demčíková</v>
      </c>
      <c r="D25" s="13" t="str">
        <f>Start.listina!K16</f>
        <v>Jiřina</v>
      </c>
      <c r="E25" s="13" t="str">
        <f>Start.listina!L16</f>
        <v>SK Sahara Vědomice</v>
      </c>
      <c r="F25" s="13"/>
      <c r="G25" s="90">
        <f ca="1">IF(N(A25)&gt;0,VLOOKUP(A25,Body!$A$4:$F$259,5,0),"")</f>
        <v>137.71054687499998</v>
      </c>
      <c r="H25" s="4">
        <f ca="1">IF(N(A25)&gt;0,VLOOKUP(A25,Body!$A$4:$F$259,6,0),"")</f>
        <v>0</v>
      </c>
      <c r="I25" s="4">
        <f ca="1">IF(N(A25)&gt;0,VLOOKUP(A25,Body!$A$4:$F$259,2,0),"")</f>
        <v>3.75</v>
      </c>
    </row>
    <row r="26" spans="1:9" x14ac:dyDescent="0.25">
      <c r="A26" s="13"/>
      <c r="B26" s="13">
        <f>Start.listina!O16</f>
        <v>12017</v>
      </c>
      <c r="C26" s="13" t="str">
        <f>Start.listina!P16</f>
        <v>Tomášková</v>
      </c>
      <c r="D26" s="13" t="str">
        <f>Start.listina!Q16</f>
        <v>Dana</v>
      </c>
      <c r="E26" s="13" t="str">
        <f>Start.listina!R16</f>
        <v>UBU Únětice</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1</v>
      </c>
      <c r="B29" s="13">
        <f>Start.listina!I17</f>
        <v>99590</v>
      </c>
      <c r="C29" s="13" t="str">
        <f>Start.listina!J17</f>
        <v>Kacerovský</v>
      </c>
      <c r="D29" s="13" t="str">
        <f>Start.listina!K17</f>
        <v>Ivo</v>
      </c>
      <c r="E29" s="13" t="str">
        <f>Start.listina!L17</f>
        <v>PC Kolová</v>
      </c>
      <c r="F29" s="13"/>
      <c r="G29" s="90">
        <f ca="1">IF(N(A29)&gt;0,VLOOKUP(A29,Body!$A$4:$F$259,5,0),"")</f>
        <v>220.33687499999996</v>
      </c>
      <c r="H29" s="4">
        <f ca="1">IF(N(A29)&gt;0,VLOOKUP(A29,Body!$A$4:$F$259,6,0),"")</f>
        <v>0</v>
      </c>
      <c r="I29" s="4">
        <f ca="1">IF(N(A29)&gt;0,VLOOKUP(A29,Body!$A$4:$F$259,2,0),"")</f>
        <v>6</v>
      </c>
    </row>
    <row r="30" spans="1:9" x14ac:dyDescent="0.25">
      <c r="A30" s="13"/>
      <c r="B30" s="13">
        <f>Start.listina!O17</f>
        <v>28050</v>
      </c>
      <c r="C30" s="13" t="str">
        <f>Start.listina!P17</f>
        <v>Beránek</v>
      </c>
      <c r="D30" s="13" t="str">
        <f>Start.listina!Q17</f>
        <v>Miroslav</v>
      </c>
      <c r="E30" s="13" t="str">
        <f>Start.listina!R17</f>
        <v>PC Kolová</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Start.listina!AH18</f>
        <v>28</v>
      </c>
      <c r="B33" s="13">
        <f>Start.listina!I18</f>
        <v>12070</v>
      </c>
      <c r="C33" s="13" t="str">
        <f>Start.listina!J18</f>
        <v>Mrázek</v>
      </c>
      <c r="D33" s="13" t="str">
        <f>Start.listina!K18</f>
        <v>Petr</v>
      </c>
      <c r="E33" s="13" t="str">
        <f>Start.listina!L18</f>
        <v>CdP Loděnice</v>
      </c>
      <c r="F33" s="13"/>
      <c r="G33" s="90">
        <f>IF(N(A33)&gt;0,VLOOKUP(A33,Body!$A$4:$F$259,5,0),"")</f>
        <v>45.903515624999997</v>
      </c>
      <c r="H33" s="4">
        <f>IF(N(A33)&gt;0,VLOOKUP(A33,Body!$A$4:$F$259,6,0),"")</f>
        <v>0</v>
      </c>
      <c r="I33" s="4">
        <f>IF(N(A33)&gt;0,VLOOKUP(A33,Body!$A$4:$F$259,2,0),"")</f>
        <v>1.25</v>
      </c>
    </row>
    <row r="34" spans="1:9" x14ac:dyDescent="0.25">
      <c r="A34" s="13"/>
      <c r="B34" s="13">
        <f>Start.listina!O18</f>
        <v>12086</v>
      </c>
      <c r="C34" s="13" t="str">
        <f>Start.listina!P18</f>
        <v>Froněk</v>
      </c>
      <c r="D34" s="13" t="str">
        <f>Start.listina!Q18</f>
        <v>Jiří</v>
      </c>
      <c r="E34" s="13" t="str">
        <f>Start.listina!R18</f>
        <v>CdP Loděnice</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12</v>
      </c>
      <c r="B37" s="13">
        <f>Start.listina!I19</f>
        <v>25014</v>
      </c>
      <c r="C37" s="13" t="str">
        <f>Start.listina!J19</f>
        <v>Mráz</v>
      </c>
      <c r="D37" s="13" t="str">
        <f>Start.listina!K19</f>
        <v>Václav</v>
      </c>
      <c r="E37" s="13" t="str">
        <f>Start.listina!L19</f>
        <v>PK Osika Plzeň</v>
      </c>
      <c r="F37" s="13"/>
      <c r="G37" s="90">
        <f ca="1">IF(N(A37)&gt;0,VLOOKUP(A37,Body!$A$4:$F$259,5,0),"")</f>
        <v>91.807031249999994</v>
      </c>
      <c r="H37" s="4">
        <f ca="1">IF(N(A37)&gt;0,VLOOKUP(A37,Body!$A$4:$F$259,6,0),"")</f>
        <v>0</v>
      </c>
      <c r="I37" s="4">
        <f ca="1">IF(N(A37)&gt;0,VLOOKUP(A37,Body!$A$4:$F$259,2,0),"")</f>
        <v>2.5</v>
      </c>
    </row>
    <row r="38" spans="1:9" x14ac:dyDescent="0.25">
      <c r="A38" s="13"/>
      <c r="B38" s="13">
        <f>Start.listina!O19</f>
        <v>12073</v>
      </c>
      <c r="C38" s="13" t="str">
        <f>Start.listina!P19</f>
        <v>Špiclová</v>
      </c>
      <c r="D38" s="13" t="str">
        <f>Start.listina!Q19</f>
        <v>Adéla</v>
      </c>
      <c r="E38" s="13" t="str">
        <f>Start.listina!R19</f>
        <v>PK Osika Plzeň</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13</v>
      </c>
      <c r="B41" s="13">
        <f>Start.listina!I20</f>
        <v>21768</v>
      </c>
      <c r="C41" s="13" t="str">
        <f>Start.listina!J20</f>
        <v>Plucar</v>
      </c>
      <c r="D41" s="13" t="str">
        <f>Start.listina!K20</f>
        <v>Petr</v>
      </c>
      <c r="E41" s="13" t="str">
        <f>Start.listina!L20</f>
        <v>PC Kolová</v>
      </c>
      <c r="F41" s="13"/>
      <c r="G41" s="90">
        <f ca="1">IF(N(A41)&gt;0,VLOOKUP(A41,Body!$A$4:$F$259,5,0),"")</f>
        <v>87.21667968749999</v>
      </c>
      <c r="H41" s="4">
        <f ca="1">IF(N(A41)&gt;0,VLOOKUP(A41,Body!$A$4:$F$259,6,0),"")</f>
        <v>0</v>
      </c>
      <c r="I41" s="4">
        <f ca="1">IF(N(A41)&gt;0,VLOOKUP(A41,Body!$A$4:$F$259,2,0),"")</f>
        <v>2.375</v>
      </c>
    </row>
    <row r="42" spans="1:9" x14ac:dyDescent="0.25">
      <c r="A42" s="13"/>
      <c r="B42" s="13">
        <f>Start.listina!O20</f>
        <v>23072</v>
      </c>
      <c r="C42" s="13" t="str">
        <f>Start.listina!P20</f>
        <v>Plucarová</v>
      </c>
      <c r="D42" s="13" t="str">
        <f>Start.listina!Q20</f>
        <v>Lenka</v>
      </c>
      <c r="E42" s="13" t="str">
        <f>Start.listina!R20</f>
        <v>PC Kolová</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 ca="1">Start.listina!AH21</f>
        <v>6</v>
      </c>
      <c r="B45" s="13">
        <f>Start.listina!I21</f>
        <v>14074</v>
      </c>
      <c r="C45" s="13" t="str">
        <f>Start.listina!J21</f>
        <v>Froňková</v>
      </c>
      <c r="D45" s="13" t="str">
        <f>Start.listina!K21</f>
        <v>Blanka</v>
      </c>
      <c r="E45" s="13" t="str">
        <f>Start.listina!L21</f>
        <v>PC Sokol Lipník</v>
      </c>
      <c r="F45" s="13"/>
      <c r="G45" s="90">
        <f ca="1">IF(N(A45)&gt;0,VLOOKUP(A45,Body!$A$4:$F$259,5,0),"")</f>
        <v>128.52984375</v>
      </c>
      <c r="H45" s="4">
        <f ca="1">IF(N(A45)&gt;0,VLOOKUP(A45,Body!$A$4:$F$259,6,0),"")</f>
        <v>0</v>
      </c>
      <c r="I45" s="4">
        <f ca="1">IF(N(A45)&gt;0,VLOOKUP(A45,Body!$A$4:$F$259,2,0),"")</f>
        <v>3.5</v>
      </c>
    </row>
    <row r="46" spans="1:9" x14ac:dyDescent="0.25">
      <c r="A46" s="13"/>
      <c r="B46" s="13">
        <f>Start.listina!O21</f>
        <v>96217</v>
      </c>
      <c r="C46" s="13" t="str">
        <f>Start.listina!P21</f>
        <v>Gorroňo López</v>
      </c>
      <c r="D46" s="13" t="str">
        <f>Start.listina!Q21</f>
        <v>Rubi</v>
      </c>
      <c r="E46" s="13" t="str">
        <f>Start.listina!R21</f>
        <v>PC Sokol Lipník</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9</v>
      </c>
      <c r="B49" s="13">
        <f>Start.listina!I22</f>
        <v>29049</v>
      </c>
      <c r="C49" s="13" t="str">
        <f>Start.listina!J22</f>
        <v>Marhoul</v>
      </c>
      <c r="D49" s="13" t="str">
        <f>Start.listina!K22</f>
        <v>Jan</v>
      </c>
      <c r="E49" s="13" t="str">
        <f>Start.listina!L22</f>
        <v>CdP Loděnice</v>
      </c>
      <c r="F49" s="13"/>
      <c r="G49" s="90">
        <f ca="1">IF(N(A49)&gt;0,VLOOKUP(A49,Body!$A$4:$F$259,5,0),"")</f>
        <v>105.57808593749999</v>
      </c>
      <c r="H49" s="4">
        <f ca="1">IF(N(A49)&gt;0,VLOOKUP(A49,Body!$A$4:$F$259,6,0),"")</f>
        <v>0</v>
      </c>
      <c r="I49" s="4">
        <f ca="1">IF(N(A49)&gt;0,VLOOKUP(A49,Body!$A$4:$F$259,2,0),"")</f>
        <v>2.875</v>
      </c>
    </row>
    <row r="50" spans="1:9" x14ac:dyDescent="0.25">
      <c r="A50" s="13"/>
      <c r="B50" s="13">
        <f>Start.listina!O22</f>
        <v>15064</v>
      </c>
      <c r="C50" s="13" t="str">
        <f>Start.listina!P22</f>
        <v>Paur</v>
      </c>
      <c r="D50" s="13" t="str">
        <f>Start.listina!Q22</f>
        <v>Jakub</v>
      </c>
      <c r="E50" s="13" t="str">
        <f>Start.listina!R22</f>
        <v>CdP Loděnice</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26</v>
      </c>
      <c r="B53" s="13">
        <f>Start.listina!I23</f>
        <v>13044</v>
      </c>
      <c r="C53" s="13" t="str">
        <f>Start.listina!J23</f>
        <v>Fafková</v>
      </c>
      <c r="D53" s="13" t="str">
        <f>Start.listina!K23</f>
        <v>Jana</v>
      </c>
      <c r="E53" s="13" t="str">
        <f>Start.listina!L23</f>
        <v>PC Sokol Lipník</v>
      </c>
      <c r="F53" s="13"/>
      <c r="G53" s="90">
        <f>IF(N(A53)&gt;0,VLOOKUP(A53,Body!$A$4:$F$259,5,0),"")</f>
        <v>50.493867187499994</v>
      </c>
      <c r="H53" s="4">
        <f>IF(N(A53)&gt;0,VLOOKUP(A53,Body!$A$4:$F$259,6,0),"")</f>
        <v>0</v>
      </c>
      <c r="I53" s="4">
        <f>IF(N(A53)&gt;0,VLOOKUP(A53,Body!$A$4:$F$259,2,0),"")</f>
        <v>1.375</v>
      </c>
    </row>
    <row r="54" spans="1:9" x14ac:dyDescent="0.25">
      <c r="A54" s="13"/>
      <c r="B54" s="13">
        <f>Start.listina!O23</f>
        <v>25011</v>
      </c>
      <c r="C54" s="13" t="str">
        <f>Start.listina!P23</f>
        <v>Jirkovský</v>
      </c>
      <c r="D54" s="13" t="str">
        <f>Start.listina!Q23</f>
        <v>Tomáš</v>
      </c>
      <c r="E54" s="13" t="str">
        <f>Start.listina!R23</f>
        <v>PK Osika Plzeň</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Start.listina!AH24</f>
        <v>25</v>
      </c>
      <c r="B57" s="13">
        <f>Start.listina!I24</f>
        <v>10159</v>
      </c>
      <c r="C57" s="13" t="str">
        <f>Start.listina!J24</f>
        <v>Vaníček</v>
      </c>
      <c r="D57" s="13" t="str">
        <f>Start.listina!K24</f>
        <v>Rudolf</v>
      </c>
      <c r="E57" s="13" t="str">
        <f>Start.listina!L24</f>
        <v>Sokol Kostomlaty</v>
      </c>
      <c r="F57" s="13"/>
      <c r="G57" s="90">
        <f>IF(N(A57)&gt;0,VLOOKUP(A57,Body!$A$4:$F$259,5,0),"")</f>
        <v>52.789042968749996</v>
      </c>
      <c r="H57" s="4">
        <f>IF(N(A57)&gt;0,VLOOKUP(A57,Body!$A$4:$F$259,6,0),"")</f>
        <v>0</v>
      </c>
      <c r="I57" s="4">
        <f>IF(N(A57)&gt;0,VLOOKUP(A57,Body!$A$4:$F$259,2,0),"")</f>
        <v>1.4375</v>
      </c>
    </row>
    <row r="58" spans="1:9" x14ac:dyDescent="0.25">
      <c r="A58" s="13"/>
      <c r="B58" s="13">
        <f>Start.listina!O24</f>
        <v>10163</v>
      </c>
      <c r="C58" s="13" t="str">
        <f>Start.listina!P24</f>
        <v>Vaníčková</v>
      </c>
      <c r="D58" s="13" t="str">
        <f>Start.listina!Q24</f>
        <v>Alena</v>
      </c>
      <c r="E58" s="13" t="str">
        <f>Start.listina!R24</f>
        <v>Sokol Kostomlaty</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Start.listina!AH25</f>
        <v>33</v>
      </c>
      <c r="B61" s="13">
        <f>Start.listina!I25</f>
        <v>12083</v>
      </c>
      <c r="C61" s="13" t="str">
        <f>Start.listina!J25</f>
        <v>Zátka</v>
      </c>
      <c r="D61" s="13" t="str">
        <f>Start.listina!K25</f>
        <v>Miloslav</v>
      </c>
      <c r="E61" s="13" t="str">
        <f>Start.listina!L25</f>
        <v>SKP Kulová osma</v>
      </c>
      <c r="F61" s="13"/>
      <c r="G61" s="90">
        <f>IF(N(A61)&gt;0,VLOOKUP(A61,Body!$A$4:$F$259,5,0),"")</f>
        <v>35.575224609374999</v>
      </c>
      <c r="H61" s="4">
        <f>IF(N(A61)&gt;0,VLOOKUP(A61,Body!$A$4:$F$259,6,0),"")</f>
        <v>0</v>
      </c>
      <c r="I61" s="4">
        <f>IF(N(A61)&gt;0,VLOOKUP(A61,Body!$A$4:$F$259,2,0),"")</f>
        <v>0.96875</v>
      </c>
    </row>
    <row r="62" spans="1:9" x14ac:dyDescent="0.25">
      <c r="A62" s="13"/>
      <c r="B62" s="13">
        <f>Start.listina!O25</f>
        <v>12085</v>
      </c>
      <c r="C62" s="13" t="str">
        <f>Start.listina!P25</f>
        <v>Mitkovová</v>
      </c>
      <c r="D62" s="13" t="str">
        <f>Start.listina!Q25</f>
        <v>Hana</v>
      </c>
      <c r="E62" s="13" t="str">
        <f>Start.listina!R25</f>
        <v>SKP Kulová osma</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8</v>
      </c>
      <c r="B65" s="13">
        <f>Start.listina!I26</f>
        <v>23131</v>
      </c>
      <c r="C65" s="13" t="str">
        <f>Start.listina!J26</f>
        <v>Felčárek</v>
      </c>
      <c r="D65" s="13" t="str">
        <f>Start.listina!K26</f>
        <v>Jaroslav</v>
      </c>
      <c r="E65" s="13" t="str">
        <f>Start.listina!L26</f>
        <v>FRAPECO</v>
      </c>
      <c r="F65" s="13"/>
      <c r="G65" s="90">
        <f ca="1">IF(N(A65)&gt;0,VLOOKUP(A65,Body!$A$4:$F$259,5,0),"")</f>
        <v>110.16843749999998</v>
      </c>
      <c r="H65" s="4">
        <f ca="1">IF(N(A65)&gt;0,VLOOKUP(A65,Body!$A$4:$F$259,6,0),"")</f>
        <v>0</v>
      </c>
      <c r="I65" s="4">
        <f ca="1">IF(N(A65)&gt;0,VLOOKUP(A65,Body!$A$4:$F$259,2,0),"")</f>
        <v>3</v>
      </c>
    </row>
    <row r="66" spans="1:9" x14ac:dyDescent="0.25">
      <c r="A66" s="13"/>
      <c r="B66" s="13">
        <f>Start.listina!O26</f>
        <v>23056</v>
      </c>
      <c r="C66" s="13" t="str">
        <f>Start.listina!P26</f>
        <v>Malá</v>
      </c>
      <c r="D66" s="13" t="str">
        <f>Start.listina!Q26</f>
        <v>Margita</v>
      </c>
      <c r="E66" s="13" t="str">
        <f>Start.listina!R26</f>
        <v>FRAPECO</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35</v>
      </c>
      <c r="B69" s="13">
        <f>Start.listina!I27</f>
        <v>15067</v>
      </c>
      <c r="C69" s="13" t="str">
        <f>Start.listina!J27</f>
        <v>Vyoral</v>
      </c>
      <c r="D69" s="13" t="str">
        <f>Start.listina!K27</f>
        <v>Hynek</v>
      </c>
      <c r="E69" s="13" t="str">
        <f>Start.listina!L27</f>
        <v>Sokol Kostomlaty</v>
      </c>
      <c r="F69" s="13"/>
      <c r="G69" s="90">
        <f>IF(N(A69)&gt;0,VLOOKUP(A69,Body!$A$4:$F$259,5,0),"")</f>
        <v>33.280048828124997</v>
      </c>
      <c r="H69" s="4">
        <f>IF(N(A69)&gt;0,VLOOKUP(A69,Body!$A$4:$F$259,6,0),"")</f>
        <v>0</v>
      </c>
      <c r="I69" s="4">
        <f>IF(N(A69)&gt;0,VLOOKUP(A69,Body!$A$4:$F$259,2,0),"")</f>
        <v>0.90625</v>
      </c>
    </row>
    <row r="70" spans="1:9" x14ac:dyDescent="0.25">
      <c r="A70" s="13"/>
      <c r="B70" s="13">
        <f>Start.listina!O27</f>
        <v>16010</v>
      </c>
      <c r="C70" s="13" t="str">
        <f>Start.listina!P27</f>
        <v>Šplechtová</v>
      </c>
      <c r="D70" s="13" t="str">
        <f>Start.listina!Q27</f>
        <v>Dana</v>
      </c>
      <c r="E70" s="13" t="str">
        <f>Start.listina!R27</f>
        <v>Sokol Kostomlaty</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Start.listina!AH28</f>
        <v>31</v>
      </c>
      <c r="B73" s="13">
        <f>Start.listina!I28</f>
        <v>15011</v>
      </c>
      <c r="C73" s="13" t="str">
        <f>Start.listina!J28</f>
        <v>Chmelař</v>
      </c>
      <c r="D73" s="13" t="str">
        <f>Start.listina!K28</f>
        <v>Ivo</v>
      </c>
      <c r="E73" s="13" t="str">
        <f>Start.listina!L28</f>
        <v>Club Rodamiento</v>
      </c>
      <c r="F73" s="13"/>
      <c r="G73" s="90">
        <f>IF(N(A73)&gt;0,VLOOKUP(A73,Body!$A$4:$F$259,5,0),"")</f>
        <v>39.017988281249998</v>
      </c>
      <c r="H73" s="4">
        <f>IF(N(A73)&gt;0,VLOOKUP(A73,Body!$A$4:$F$259,6,0),"")</f>
        <v>0</v>
      </c>
      <c r="I73" s="4">
        <f>IF(N(A73)&gt;0,VLOOKUP(A73,Body!$A$4:$F$259,2,0),"")</f>
        <v>1.0625</v>
      </c>
    </row>
    <row r="74" spans="1:9" x14ac:dyDescent="0.25">
      <c r="A74" s="13"/>
      <c r="B74" s="13">
        <f>Start.listina!O28</f>
        <v>15010</v>
      </c>
      <c r="C74" s="13" t="str">
        <f>Start.listina!P28</f>
        <v>Chmelařová</v>
      </c>
      <c r="D74" s="13" t="str">
        <f>Start.listina!Q28</f>
        <v>Yvetta</v>
      </c>
      <c r="E74" s="13" t="str">
        <f>Start.listina!R28</f>
        <v>Club Rodamiento</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 ca="1">Start.listina!AH29</f>
        <v>10</v>
      </c>
      <c r="B77" s="13">
        <f>Start.listina!I29</f>
        <v>14079</v>
      </c>
      <c r="C77" s="13" t="str">
        <f>Start.listina!J29</f>
        <v>Vorel</v>
      </c>
      <c r="D77" s="13" t="str">
        <f>Start.listina!K29</f>
        <v>Jan</v>
      </c>
      <c r="E77" s="13" t="str">
        <f>Start.listina!L29</f>
        <v>Petank Club Praha</v>
      </c>
      <c r="F77" s="13"/>
      <c r="G77" s="90">
        <f ca="1">IF(N(A77)&gt;0,VLOOKUP(A77,Body!$A$4:$F$259,5,0),"")</f>
        <v>100.98773437499999</v>
      </c>
      <c r="H77" s="4">
        <f ca="1">IF(N(A77)&gt;0,VLOOKUP(A77,Body!$A$4:$F$259,6,0),"")</f>
        <v>0</v>
      </c>
      <c r="I77" s="4">
        <f ca="1">IF(N(A77)&gt;0,VLOOKUP(A77,Body!$A$4:$F$259,2,0),"")</f>
        <v>2.75</v>
      </c>
    </row>
    <row r="78" spans="1:9" x14ac:dyDescent="0.25">
      <c r="A78" s="13"/>
      <c r="B78" s="13">
        <f>Start.listina!O29</f>
        <v>15028</v>
      </c>
      <c r="C78" s="13" t="str">
        <f>Start.listina!P29</f>
        <v>Čížek</v>
      </c>
      <c r="D78" s="13" t="str">
        <f>Start.listina!Q29</f>
        <v>Michal</v>
      </c>
      <c r="E78" s="13" t="str">
        <f>Start.listina!R29</f>
        <v>Petank Club Praha</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 ca="1">Start.listina!AH30</f>
        <v>7</v>
      </c>
      <c r="B81" s="13">
        <f>Start.listina!I30</f>
        <v>13027</v>
      </c>
      <c r="C81" s="13" t="str">
        <f>Start.listina!J30</f>
        <v>Dlouhá</v>
      </c>
      <c r="D81" s="13" t="str">
        <f>Start.listina!K30</f>
        <v>Ivana</v>
      </c>
      <c r="E81" s="13" t="str">
        <f>Start.listina!L30</f>
        <v>Club Rodamiento</v>
      </c>
      <c r="F81" s="13"/>
      <c r="G81" s="90">
        <f ca="1">IF(N(A81)&gt;0,VLOOKUP(A81,Body!$A$4:$F$259,5,0),"")</f>
        <v>119.34914062499999</v>
      </c>
      <c r="H81" s="4">
        <f ca="1">IF(N(A81)&gt;0,VLOOKUP(A81,Body!$A$4:$F$259,6,0),"")</f>
        <v>0</v>
      </c>
      <c r="I81" s="4">
        <f ca="1">IF(N(A81)&gt;0,VLOOKUP(A81,Body!$A$4:$F$259,2,0),"")</f>
        <v>3.25</v>
      </c>
    </row>
    <row r="82" spans="1:9" x14ac:dyDescent="0.25">
      <c r="A82" s="13"/>
      <c r="B82" s="13">
        <f>Start.listina!O30</f>
        <v>13029</v>
      </c>
      <c r="C82" s="13" t="str">
        <f>Start.listina!P30</f>
        <v>Kamaryt</v>
      </c>
      <c r="D82" s="13" t="str">
        <f>Start.listina!Q30</f>
        <v>Josef</v>
      </c>
      <c r="E82" s="13" t="str">
        <f>Start.listina!R30</f>
        <v>Club Rodamiento</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24</v>
      </c>
      <c r="B85" s="13">
        <f>Start.listina!I31</f>
        <v>10044</v>
      </c>
      <c r="C85" s="13" t="str">
        <f>Start.listina!J31</f>
        <v>Kubík</v>
      </c>
      <c r="D85" s="13" t="str">
        <f>Start.listina!K31</f>
        <v>Jaroslav</v>
      </c>
      <c r="E85" s="13" t="str">
        <f>Start.listina!L31</f>
        <v>JAPKO</v>
      </c>
      <c r="F85" s="13"/>
      <c r="G85" s="90">
        <f>IF(N(A85)&gt;0,VLOOKUP(A85,Body!$A$4:$F$259,5,0),"")</f>
        <v>55.084218749999991</v>
      </c>
      <c r="H85" s="4">
        <f>IF(N(A85)&gt;0,VLOOKUP(A85,Body!$A$4:$F$259,6,0),"")</f>
        <v>0</v>
      </c>
      <c r="I85" s="4">
        <f>IF(N(A85)&gt;0,VLOOKUP(A85,Body!$A$4:$F$259,2,0),"")</f>
        <v>1.5</v>
      </c>
    </row>
    <row r="86" spans="1:9" x14ac:dyDescent="0.25">
      <c r="A86" s="13"/>
      <c r="B86" s="13">
        <f>Start.listina!O31</f>
        <v>12069</v>
      </c>
      <c r="C86" s="13" t="str">
        <f>Start.listina!P31</f>
        <v>Kuchař</v>
      </c>
      <c r="D86" s="13" t="str">
        <f>Start.listina!Q31</f>
        <v>Michal</v>
      </c>
      <c r="E86" s="13" t="str">
        <f>Start.listina!R31</f>
        <v>JAPKO</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 ca="1">Start.listina!AH32</f>
        <v>3</v>
      </c>
      <c r="B89" s="13">
        <f>Start.listina!I32</f>
        <v>15065</v>
      </c>
      <c r="C89" s="13" t="str">
        <f>Start.listina!J32</f>
        <v>Palas</v>
      </c>
      <c r="D89" s="13" t="str">
        <f>Start.listina!K32</f>
        <v>Pavel</v>
      </c>
      <c r="E89" s="13" t="str">
        <f>Start.listina!L32</f>
        <v>UBU Únětice</v>
      </c>
      <c r="F89" s="13"/>
      <c r="G89" s="90">
        <f ca="1">IF(N(A89)&gt;0,VLOOKUP(A89,Body!$A$4:$F$259,5,0),"")</f>
        <v>165.25265624999997</v>
      </c>
      <c r="H89" s="4">
        <f ca="1">IF(N(A89)&gt;0,VLOOKUP(A89,Body!$A$4:$F$259,6,0),"")</f>
        <v>0</v>
      </c>
      <c r="I89" s="4">
        <f ca="1">IF(N(A89)&gt;0,VLOOKUP(A89,Body!$A$4:$F$259,2,0),"")</f>
        <v>4.5</v>
      </c>
    </row>
    <row r="90" spans="1:9" x14ac:dyDescent="0.25">
      <c r="A90" s="13"/>
      <c r="B90" s="13">
        <f>Start.listina!O32</f>
        <v>28051</v>
      </c>
      <c r="C90" s="13" t="str">
        <f>Start.listina!P32</f>
        <v>Horáček</v>
      </c>
      <c r="D90" s="13" t="str">
        <f>Start.listina!Q32</f>
        <v>Jindřich</v>
      </c>
      <c r="E90" s="13" t="str">
        <f>Start.listina!R32</f>
        <v>PC Kolová</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22</v>
      </c>
      <c r="B93" s="13">
        <f>Start.listina!I33</f>
        <v>14100</v>
      </c>
      <c r="C93" s="13" t="str">
        <f>Start.listina!J33</f>
        <v>Vedralová</v>
      </c>
      <c r="D93" s="13" t="str">
        <f>Start.listina!K33</f>
        <v>Kateřina</v>
      </c>
      <c r="E93" s="13" t="str">
        <f>Start.listina!L33</f>
        <v>CdP Loděnice</v>
      </c>
      <c r="F93" s="13"/>
      <c r="G93" s="90">
        <f>IF(N(A93)&gt;0,VLOOKUP(A93,Body!$A$4:$F$259,5,0),"")</f>
        <v>59.674570312499995</v>
      </c>
      <c r="H93" s="4">
        <f>IF(N(A93)&gt;0,VLOOKUP(A93,Body!$A$4:$F$259,6,0),"")</f>
        <v>0</v>
      </c>
      <c r="I93" s="4">
        <f>IF(N(A93)&gt;0,VLOOKUP(A93,Body!$A$4:$F$259,2,0),"")</f>
        <v>1.625</v>
      </c>
    </row>
    <row r="94" spans="1:9" x14ac:dyDescent="0.25">
      <c r="A94" s="13"/>
      <c r="B94" s="13">
        <f>Start.listina!O33</f>
        <v>11048</v>
      </c>
      <c r="C94" s="13" t="str">
        <f>Start.listina!P33</f>
        <v>Nagy</v>
      </c>
      <c r="D94" s="13" t="str">
        <f>Start.listina!Q33</f>
        <v>Radim</v>
      </c>
      <c r="E94" s="13" t="str">
        <f>Start.listina!R33</f>
        <v>CdP Loděnice</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 ca="1">Start.listina!AH34</f>
        <v>21</v>
      </c>
      <c r="B97" s="13">
        <f>Start.listina!I34</f>
        <v>15026</v>
      </c>
      <c r="C97" s="13" t="str">
        <f>Start.listina!J34</f>
        <v>Čermák</v>
      </c>
      <c r="D97" s="13" t="str">
        <f>Start.listina!K34</f>
        <v>Jiří</v>
      </c>
      <c r="E97" s="13" t="str">
        <f>Start.listina!L34</f>
        <v>CdP Loděnice</v>
      </c>
      <c r="F97" s="13"/>
      <c r="G97" s="90">
        <f ca="1">IF(N(A97)&gt;0,VLOOKUP(A97,Body!$A$4:$F$259,5,0),"")</f>
        <v>61.969746093749997</v>
      </c>
      <c r="H97" s="4">
        <f ca="1">IF(N(A97)&gt;0,VLOOKUP(A97,Body!$A$4:$F$259,6,0),"")</f>
        <v>0</v>
      </c>
      <c r="I97" s="4">
        <f ca="1">IF(N(A97)&gt;0,VLOOKUP(A97,Body!$A$4:$F$259,2,0),"")</f>
        <v>1.6875</v>
      </c>
    </row>
    <row r="98" spans="1:9" x14ac:dyDescent="0.25">
      <c r="A98" s="13"/>
      <c r="B98" s="13">
        <f>Start.listina!O34</f>
        <v>29058</v>
      </c>
      <c r="C98" s="13" t="str">
        <f>Start.listina!P34</f>
        <v>Koňák</v>
      </c>
      <c r="D98" s="13" t="str">
        <f>Start.listina!Q34</f>
        <v>Karel</v>
      </c>
      <c r="E98" s="13" t="str">
        <f>Start.listina!R34</f>
        <v>CdP Loděnice</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27</v>
      </c>
      <c r="B101" s="13">
        <f>Start.listina!I35</f>
        <v>25075</v>
      </c>
      <c r="C101" s="13" t="str">
        <f>Start.listina!J35</f>
        <v>Špitálský</v>
      </c>
      <c r="D101" s="13" t="str">
        <f>Start.listina!K35</f>
        <v>Milan</v>
      </c>
      <c r="E101" s="13" t="str">
        <f>Start.listina!L35</f>
        <v>PK Osika Plzeň</v>
      </c>
      <c r="F101" s="13"/>
      <c r="G101" s="90">
        <f>IF(N(A101)&gt;0,VLOOKUP(A101,Body!$A$4:$F$259,5,0),"")</f>
        <v>48.198691406249992</v>
      </c>
      <c r="H101" s="4">
        <f>IF(N(A101)&gt;0,VLOOKUP(A101,Body!$A$4:$F$259,6,0),"")</f>
        <v>0</v>
      </c>
      <c r="I101" s="4">
        <f>IF(N(A101)&gt;0,VLOOKUP(A101,Body!$A$4:$F$259,2,0),"")</f>
        <v>1.3125</v>
      </c>
    </row>
    <row r="102" spans="1:9" x14ac:dyDescent="0.25">
      <c r="A102" s="13"/>
      <c r="B102" s="13">
        <f>Start.listina!O35</f>
        <v>25015</v>
      </c>
      <c r="C102" s="13" t="str">
        <f>Start.listina!P35</f>
        <v>Mrázová</v>
      </c>
      <c r="D102" s="13" t="str">
        <f>Start.listina!Q35</f>
        <v>Eva</v>
      </c>
      <c r="E102" s="13" t="str">
        <f>Start.listina!R35</f>
        <v>PK Osika Plzeň</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41</v>
      </c>
      <c r="B105" s="13">
        <f>Start.listina!I36</f>
        <v>15033</v>
      </c>
      <c r="C105" s="13" t="str">
        <f>Start.listina!J36</f>
        <v>Lhoták</v>
      </c>
      <c r="D105" s="13" t="str">
        <f>Start.listina!K36</f>
        <v>Jaroslav</v>
      </c>
      <c r="E105" s="13" t="str">
        <f>Start.listina!L36</f>
        <v>SKP Kulová osma</v>
      </c>
      <c r="F105" s="13"/>
      <c r="G105" s="90">
        <f>IF(N(A105)&gt;0,VLOOKUP(A105,Body!$A$4:$F$259,5,0),"")</f>
        <v>26.394521484374998</v>
      </c>
      <c r="H105" s="4">
        <f>IF(N(A105)&gt;0,VLOOKUP(A105,Body!$A$4:$F$259,6,0),"")</f>
        <v>0</v>
      </c>
      <c r="I105" s="4">
        <f>IF(N(A105)&gt;0,VLOOKUP(A105,Body!$A$4:$F$259,2,0),"")</f>
        <v>0.71875</v>
      </c>
    </row>
    <row r="106" spans="1:9" x14ac:dyDescent="0.25">
      <c r="A106" s="13"/>
      <c r="B106" s="13">
        <f>Start.listina!O36</f>
        <v>15034</v>
      </c>
      <c r="C106" s="13" t="str">
        <f>Start.listina!P36</f>
        <v>Dušáková</v>
      </c>
      <c r="D106" s="13" t="str">
        <f>Start.listina!Q36</f>
        <v>Hedvika</v>
      </c>
      <c r="E106" s="13" t="str">
        <f>Start.listina!R36</f>
        <v>SKP Kulová osma</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43</v>
      </c>
      <c r="B109" s="13">
        <f>Start.listina!I37</f>
        <v>14028</v>
      </c>
      <c r="C109" s="13" t="str">
        <f>Start.listina!J37</f>
        <v>Hercoková</v>
      </c>
      <c r="D109" s="13" t="str">
        <f>Start.listina!K37</f>
        <v>Milena</v>
      </c>
      <c r="E109" s="13" t="str">
        <f>Start.listina!L37</f>
        <v>Sokol Kostomlaty</v>
      </c>
      <c r="F109" s="13"/>
      <c r="G109" s="90">
        <f>IF(N(A109)&gt;0,VLOOKUP(A109,Body!$A$4:$F$259,5,0),"")</f>
        <v>24.099345703124996</v>
      </c>
      <c r="H109" s="4">
        <f>IF(N(A109)&gt;0,VLOOKUP(A109,Body!$A$4:$F$259,6,0),"")</f>
        <v>0</v>
      </c>
      <c r="I109" s="4">
        <f>IF(N(A109)&gt;0,VLOOKUP(A109,Body!$A$4:$F$259,2,0),"")</f>
        <v>0.65625</v>
      </c>
    </row>
    <row r="110" spans="1:9" x14ac:dyDescent="0.25">
      <c r="A110" s="13"/>
      <c r="B110" s="13">
        <f>Start.listina!O37</f>
        <v>14068</v>
      </c>
      <c r="C110" s="13" t="str">
        <f>Start.listina!P37</f>
        <v>Müllerová</v>
      </c>
      <c r="D110" s="13" t="str">
        <f>Start.listina!Q37</f>
        <v>Marie</v>
      </c>
      <c r="E110" s="13" t="str">
        <f>Start.listina!R37</f>
        <v>Sokol Kostomlaty</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37</v>
      </c>
      <c r="B113" s="13">
        <f>Start.listina!I38</f>
        <v>96216</v>
      </c>
      <c r="C113" s="13" t="str">
        <f>Start.listina!J38</f>
        <v>Leiský</v>
      </c>
      <c r="D113" s="13" t="str">
        <f>Start.listina!K38</f>
        <v>Leander</v>
      </c>
      <c r="E113" s="13" t="str">
        <f>Start.listina!L38</f>
        <v>C.T.P. Club Ořech</v>
      </c>
      <c r="F113" s="13"/>
      <c r="G113" s="90">
        <f>IF(N(A113)&gt;0,VLOOKUP(A113,Body!$A$4:$F$259,5,0),"")</f>
        <v>30.984873046874998</v>
      </c>
      <c r="H113" s="4">
        <f>IF(N(A113)&gt;0,VLOOKUP(A113,Body!$A$4:$F$259,6,0),"")</f>
        <v>0</v>
      </c>
      <c r="I113" s="4">
        <f>IF(N(A113)&gt;0,VLOOKUP(A113,Body!$A$4:$F$259,2,0),"")</f>
        <v>0.84375</v>
      </c>
    </row>
    <row r="114" spans="1:9" x14ac:dyDescent="0.25">
      <c r="A114" s="13"/>
      <c r="B114" s="13">
        <f>Start.listina!O38</f>
        <v>24155</v>
      </c>
      <c r="C114" s="13" t="str">
        <f>Start.listina!P38</f>
        <v>Kraus</v>
      </c>
      <c r="D114" s="13" t="str">
        <f>Start.listina!Q38</f>
        <v>Jaroslav</v>
      </c>
      <c r="E114" s="13" t="str">
        <f>Start.listina!R38</f>
        <v>POP Praha</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32</v>
      </c>
      <c r="B117" s="13">
        <f>Start.listina!I39</f>
        <v>12042</v>
      </c>
      <c r="C117" s="198" t="str">
        <f>Start.listina!J39</f>
        <v>Pilát</v>
      </c>
      <c r="D117" s="13" t="str">
        <f>Start.listina!K39</f>
        <v>Petr</v>
      </c>
      <c r="E117" s="13" t="str">
        <f>Start.listina!L39</f>
        <v>SKP Kulová osma</v>
      </c>
      <c r="F117" s="13"/>
      <c r="G117" s="90">
        <f>IF(N(A117)&gt;0,VLOOKUP(A117,Body!$A$4:$F$259,5,0),"")</f>
        <v>36.722812499999996</v>
      </c>
      <c r="H117" s="4">
        <f>IF(N(A117)&gt;0,VLOOKUP(A117,Body!$A$4:$F$259,6,0),"")</f>
        <v>0</v>
      </c>
      <c r="I117" s="4">
        <f>IF(N(A117)&gt;0,VLOOKUP(A117,Body!$A$4:$F$259,2,0),"")</f>
        <v>1</v>
      </c>
    </row>
    <row r="118" spans="1:9" x14ac:dyDescent="0.25">
      <c r="A118" s="13"/>
      <c r="B118" s="13">
        <f>Start.listina!O39</f>
        <v>16109</v>
      </c>
      <c r="C118" s="13" t="str">
        <f>Start.listina!P39</f>
        <v>Sjögren</v>
      </c>
      <c r="D118" s="13" t="str">
        <f>Start.listina!Q39</f>
        <v>Magda</v>
      </c>
      <c r="E118" s="13" t="str">
        <f>Start.listina!R39</f>
        <v>Club Rodamiento</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 ca="1">Start.listina!AH40</f>
        <v>51</v>
      </c>
      <c r="B121" s="13">
        <f>Start.listina!I40</f>
        <v>12079</v>
      </c>
      <c r="C121" s="198" t="str">
        <f>Start.listina!J40</f>
        <v>Slapnička</v>
      </c>
      <c r="D121" s="13" t="str">
        <f>Start.listina!K40</f>
        <v>Václav</v>
      </c>
      <c r="E121" s="13" t="str">
        <f>Start.listina!L40</f>
        <v>SKP Kulová osma</v>
      </c>
      <c r="F121" s="13"/>
      <c r="G121" s="90">
        <f ca="1">IF(N(A121)&gt;0,VLOOKUP(A121,Body!$A$4:$F$259,5,0),"")</f>
        <v>1</v>
      </c>
      <c r="H121" s="4">
        <f ca="1">IF(N(A121)&gt;0,VLOOKUP(A121,Body!$A$4:$F$259,6,0),"")</f>
        <v>0</v>
      </c>
      <c r="I121" s="4">
        <f ca="1">IF(N(A121)&gt;0,VLOOKUP(A121,Body!$A$4:$F$259,2,0),"")</f>
        <v>0</v>
      </c>
    </row>
    <row r="122" spans="1:9" x14ac:dyDescent="0.25">
      <c r="A122" s="13"/>
      <c r="B122" s="13">
        <f>Start.listina!O40</f>
        <v>12080</v>
      </c>
      <c r="C122" s="13" t="str">
        <f>Start.listina!P40</f>
        <v>Lenhartová</v>
      </c>
      <c r="D122" s="13" t="str">
        <f>Start.listina!Q40</f>
        <v>Ivana</v>
      </c>
      <c r="E122" s="13" t="str">
        <f>Start.listina!R40</f>
        <v>SKP Kulová osma</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18</v>
      </c>
      <c r="B125" s="13">
        <f>Start.listina!I41</f>
        <v>12031</v>
      </c>
      <c r="C125" s="198" t="str">
        <f>Start.listina!J41</f>
        <v>Koudelková</v>
      </c>
      <c r="D125" s="13" t="str">
        <f>Start.listina!K41</f>
        <v>Ema</v>
      </c>
      <c r="E125" s="13" t="str">
        <f>Start.listina!L41</f>
        <v>SKP Kulová osma</v>
      </c>
      <c r="F125" s="13"/>
      <c r="G125" s="90">
        <f>IF(N(A125)&gt;0,VLOOKUP(A125,Body!$A$4:$F$259,5,0),"")</f>
        <v>68.855273437499989</v>
      </c>
      <c r="H125" s="4">
        <f>IF(N(A125)&gt;0,VLOOKUP(A125,Body!$A$4:$F$259,6,0),"")</f>
        <v>0</v>
      </c>
      <c r="I125" s="4">
        <f>IF(N(A125)&gt;0,VLOOKUP(A125,Body!$A$4:$F$259,2,0),"")</f>
        <v>1.875</v>
      </c>
    </row>
    <row r="126" spans="1:9" x14ac:dyDescent="0.25">
      <c r="A126" s="13"/>
      <c r="B126" s="13">
        <f>Start.listina!O41</f>
        <v>12035</v>
      </c>
      <c r="C126" s="13" t="str">
        <f>Start.listina!P41</f>
        <v>Horálková</v>
      </c>
      <c r="D126" s="13" t="str">
        <f>Start.listina!Q41</f>
        <v>Ivana</v>
      </c>
      <c r="E126" s="13" t="str">
        <f>Start.listina!R41</f>
        <v>SKP Kulová osma</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Start.listina!AH42</f>
        <v>39</v>
      </c>
      <c r="B129" s="13">
        <f>Start.listina!I42</f>
        <v>14081</v>
      </c>
      <c r="C129" s="198" t="str">
        <f>Start.listina!J42</f>
        <v>Boubínová</v>
      </c>
      <c r="D129" s="13" t="str">
        <f>Start.listina!K42</f>
        <v>Vendula</v>
      </c>
      <c r="E129" s="13" t="str">
        <f>Start.listina!L42</f>
        <v>Petank Club Praha</v>
      </c>
      <c r="F129" s="13"/>
      <c r="G129" s="90">
        <f>IF(N(A129)&gt;0,VLOOKUP(A129,Body!$A$4:$F$259,5,0),"")</f>
        <v>28.689697265624996</v>
      </c>
      <c r="H129" s="4">
        <f>IF(N(A129)&gt;0,VLOOKUP(A129,Body!$A$4:$F$259,6,0),"")</f>
        <v>0</v>
      </c>
      <c r="I129" s="4">
        <f>IF(N(A129)&gt;0,VLOOKUP(A129,Body!$A$4:$F$259,2,0),"")</f>
        <v>0.78125</v>
      </c>
    </row>
    <row r="130" spans="1:9" x14ac:dyDescent="0.25">
      <c r="A130" s="13"/>
      <c r="B130" s="13">
        <f>Start.listina!O42</f>
        <v>16118</v>
      </c>
      <c r="C130" s="13" t="str">
        <f>Start.listina!P42</f>
        <v>Bubeníková</v>
      </c>
      <c r="D130" s="13" t="str">
        <f>Start.listina!Q42</f>
        <v>Blanka</v>
      </c>
      <c r="E130" s="13" t="str">
        <f>Start.listina!R42</f>
        <v>Petank Club Praha</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45</v>
      </c>
      <c r="B133" s="13">
        <f>Start.listina!I43</f>
        <v>29060</v>
      </c>
      <c r="C133" s="198" t="str">
        <f>Start.listina!J43</f>
        <v>Fatka</v>
      </c>
      <c r="D133" s="13" t="str">
        <f>Start.listina!K43</f>
        <v>Stanislav ml.</v>
      </c>
      <c r="E133" s="13" t="str">
        <f>Start.listina!L43</f>
        <v>CdP Loděnice</v>
      </c>
      <c r="F133" s="13"/>
      <c r="G133" s="90">
        <f>IF(N(A133)&gt;0,VLOOKUP(A133,Body!$A$4:$F$259,5,0),"")</f>
        <v>21.804169921874998</v>
      </c>
      <c r="H133" s="4">
        <f>IF(N(A133)&gt;0,VLOOKUP(A133,Body!$A$4:$F$259,6,0),"")</f>
        <v>0</v>
      </c>
      <c r="I133" s="4">
        <f>IF(N(A133)&gt;0,VLOOKUP(A133,Body!$A$4:$F$259,2,0),"")</f>
        <v>0.59375</v>
      </c>
    </row>
    <row r="134" spans="1:9" x14ac:dyDescent="0.25">
      <c r="A134" s="13"/>
      <c r="B134" s="13">
        <f>Start.listina!O43</f>
        <v>29052</v>
      </c>
      <c r="C134" s="13" t="str">
        <f>Start.listina!P43</f>
        <v>Paták</v>
      </c>
      <c r="D134" s="13" t="str">
        <f>Start.listina!Q43</f>
        <v>Jan</v>
      </c>
      <c r="E134" s="13" t="str">
        <f>Start.listina!R43</f>
        <v>CdP Loděnice</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34</v>
      </c>
      <c r="B137" s="13">
        <f>Start.listina!I44</f>
        <v>13079</v>
      </c>
      <c r="C137" s="198" t="str">
        <f>Start.listina!J44</f>
        <v>Bayer</v>
      </c>
      <c r="D137" s="13" t="str">
        <f>Start.listina!K44</f>
        <v>Milan</v>
      </c>
      <c r="E137" s="13" t="str">
        <f>Start.listina!L44</f>
        <v>UBU Únětice</v>
      </c>
      <c r="F137" s="13"/>
      <c r="G137" s="90">
        <f>IF(N(A137)&gt;0,VLOOKUP(A137,Body!$A$4:$F$259,5,0),"")</f>
        <v>34.427636718749994</v>
      </c>
      <c r="H137" s="4">
        <f>IF(N(A137)&gt;0,VLOOKUP(A137,Body!$A$4:$F$259,6,0),"")</f>
        <v>0</v>
      </c>
      <c r="I137" s="4">
        <f>IF(N(A137)&gt;0,VLOOKUP(A137,Body!$A$4:$F$259,2,0),"")</f>
        <v>0.9375</v>
      </c>
    </row>
    <row r="138" spans="1:9" x14ac:dyDescent="0.25">
      <c r="A138" s="13"/>
      <c r="B138" s="13">
        <f>Start.listina!O44</f>
        <v>15042</v>
      </c>
      <c r="C138" s="13" t="str">
        <f>Start.listina!P44</f>
        <v>Bayerová</v>
      </c>
      <c r="D138" s="13" t="str">
        <f>Start.listina!Q44</f>
        <v>Hana</v>
      </c>
      <c r="E138" s="13" t="str">
        <f>Start.listina!R44</f>
        <v>UBU Únětice</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 ca="1">Start.listina!AH45</f>
        <v>16</v>
      </c>
      <c r="B141" s="13">
        <f>Start.listina!I45</f>
        <v>16058</v>
      </c>
      <c r="C141" s="198" t="str">
        <f>Start.listina!J45</f>
        <v>Nepomucký</v>
      </c>
      <c r="D141" s="13" t="str">
        <f>Start.listina!K45</f>
        <v>Jaroslav</v>
      </c>
      <c r="E141" s="13" t="str">
        <f>Start.listina!L45</f>
        <v>Spolek Park Grébovka</v>
      </c>
      <c r="F141" s="13"/>
      <c r="G141" s="90">
        <f ca="1">IF(N(A141)&gt;0,VLOOKUP(A141,Body!$A$4:$F$259,5,0),"")</f>
        <v>73.445624999999993</v>
      </c>
      <c r="H141" s="4">
        <f ca="1">IF(N(A141)&gt;0,VLOOKUP(A141,Body!$A$4:$F$259,6,0),"")</f>
        <v>0</v>
      </c>
      <c r="I141" s="4">
        <f ca="1">IF(N(A141)&gt;0,VLOOKUP(A141,Body!$A$4:$F$259,2,0),"")</f>
        <v>2</v>
      </c>
    </row>
    <row r="142" spans="1:9" x14ac:dyDescent="0.25">
      <c r="A142" s="13"/>
      <c r="B142" s="13">
        <f>Start.listina!O45</f>
        <v>16059</v>
      </c>
      <c r="C142" s="13" t="str">
        <f>Start.listina!P45</f>
        <v>Čermák</v>
      </c>
      <c r="D142" s="13" t="str">
        <f>Start.listina!Q45</f>
        <v>Tomáš</v>
      </c>
      <c r="E142" s="13" t="str">
        <f>Start.listina!R45</f>
        <v>Spolek Park Grébovka</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 ca="1">Start.listina!AH46</f>
        <v>49</v>
      </c>
      <c r="B145" s="13">
        <f>Start.listina!I46</f>
        <v>15043</v>
      </c>
      <c r="C145" s="198" t="str">
        <f>Start.listina!J46</f>
        <v>Pflimpflová</v>
      </c>
      <c r="D145" s="13" t="str">
        <f>Start.listina!K46</f>
        <v>Alexandra</v>
      </c>
      <c r="E145" s="13" t="str">
        <f>Start.listina!L46</f>
        <v>UBU Únětice</v>
      </c>
      <c r="F145" s="13"/>
      <c r="G145" s="90">
        <f ca="1">IF(N(A145)&gt;0,VLOOKUP(A145,Body!$A$4:$F$259,5,0),"")</f>
        <v>17.213818359374997</v>
      </c>
      <c r="H145" s="4">
        <f ca="1">IF(N(A145)&gt;0,VLOOKUP(A145,Body!$A$4:$F$259,6,0),"")</f>
        <v>0</v>
      </c>
      <c r="I145" s="4">
        <f ca="1">IF(N(A145)&gt;0,VLOOKUP(A145,Body!$A$4:$F$259,2,0),"")</f>
        <v>0.46875</v>
      </c>
    </row>
    <row r="146" spans="1:9" x14ac:dyDescent="0.25">
      <c r="A146" s="13"/>
      <c r="B146" s="13">
        <f>Start.listina!O46</f>
        <v>13028</v>
      </c>
      <c r="C146" s="13" t="str">
        <f>Start.listina!P46</f>
        <v>Hobža</v>
      </c>
      <c r="D146" s="13" t="str">
        <f>Start.listina!Q46</f>
        <v>Vladimír</v>
      </c>
      <c r="E146" s="13" t="str">
        <f>Start.listina!R46</f>
        <v>Club Rodamiento</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47</v>
      </c>
      <c r="B149" s="13">
        <f>Start.listina!I47</f>
        <v>14049</v>
      </c>
      <c r="C149" s="198" t="str">
        <f>Start.listina!J47</f>
        <v>Moos</v>
      </c>
      <c r="D149" s="13" t="str">
        <f>Start.listina!K47</f>
        <v>Daniel</v>
      </c>
      <c r="E149" s="13" t="str">
        <f>Start.listina!L47</f>
        <v>Club Rodamiento</v>
      </c>
      <c r="F149" s="13"/>
      <c r="G149" s="90">
        <f>IF(N(A149)&gt;0,VLOOKUP(A149,Body!$A$4:$F$259,5,0),"")</f>
        <v>19.508994140624999</v>
      </c>
      <c r="H149" s="4">
        <f>IF(N(A149)&gt;0,VLOOKUP(A149,Body!$A$4:$F$259,6,0),"")</f>
        <v>0</v>
      </c>
      <c r="I149" s="4">
        <f>IF(N(A149)&gt;0,VLOOKUP(A149,Body!$A$4:$F$259,2,0),"")</f>
        <v>0.53125</v>
      </c>
    </row>
    <row r="150" spans="1:9" x14ac:dyDescent="0.25">
      <c r="A150" s="13"/>
      <c r="B150" s="13">
        <f>Start.listina!O47</f>
        <v>15069</v>
      </c>
      <c r="C150" s="13" t="str">
        <f>Start.listina!P47</f>
        <v>Smieško</v>
      </c>
      <c r="D150" s="13" t="str">
        <f>Start.listina!Q47</f>
        <v>Zdeněk</v>
      </c>
      <c r="E150" s="13" t="str">
        <f>Start.listina!R47</f>
        <v>Club Rodamiento</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38</v>
      </c>
      <c r="B153" s="13">
        <f>Start.listina!I48</f>
        <v>14055</v>
      </c>
      <c r="C153" s="198" t="str">
        <f>Start.listina!J48</f>
        <v>Stejskal</v>
      </c>
      <c r="D153" s="13" t="str">
        <f>Start.listina!K48</f>
        <v>Petr</v>
      </c>
      <c r="E153" s="13" t="str">
        <f>Start.listina!L48</f>
        <v>JAPKO</v>
      </c>
      <c r="F153" s="13"/>
      <c r="G153" s="90">
        <f>IF(N(A153)&gt;0,VLOOKUP(A153,Body!$A$4:$F$259,5,0),"")</f>
        <v>29.837285156249997</v>
      </c>
      <c r="H153" s="4">
        <f>IF(N(A153)&gt;0,VLOOKUP(A153,Body!$A$4:$F$259,6,0),"")</f>
        <v>0</v>
      </c>
      <c r="I153" s="4">
        <f>IF(N(A153)&gt;0,VLOOKUP(A153,Body!$A$4:$F$259,2,0),"")</f>
        <v>0.8125</v>
      </c>
    </row>
    <row r="154" spans="1:9" x14ac:dyDescent="0.25">
      <c r="A154" s="13"/>
      <c r="B154" s="13">
        <f>Start.listina!O48</f>
        <v>16117</v>
      </c>
      <c r="C154" s="13" t="str">
        <f>Start.listina!P48</f>
        <v>Stejskal</v>
      </c>
      <c r="D154" s="13" t="str">
        <f>Start.listina!Q48</f>
        <v>Václav</v>
      </c>
      <c r="E154" s="13" t="str">
        <f>Start.listina!R48</f>
        <v>JAPKO</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44</v>
      </c>
      <c r="B157" s="13">
        <f>Start.listina!I49</f>
        <v>96162</v>
      </c>
      <c r="C157" s="198" t="str">
        <f>Start.listina!J49</f>
        <v>Glaser</v>
      </c>
      <c r="D157" s="13" t="str">
        <f>Start.listina!K49</f>
        <v>Vladimír</v>
      </c>
      <c r="E157" s="13" t="str">
        <f>Start.listina!L49</f>
        <v>C.T.P. Club Ořech</v>
      </c>
      <c r="F157" s="13"/>
      <c r="G157" s="90">
        <f>IF(N(A157)&gt;0,VLOOKUP(A157,Body!$A$4:$F$259,5,0),"")</f>
        <v>22.951757812499999</v>
      </c>
      <c r="H157" s="4">
        <f>IF(N(A157)&gt;0,VLOOKUP(A157,Body!$A$4:$F$259,6,0),"")</f>
        <v>0</v>
      </c>
      <c r="I157" s="4">
        <f>IF(N(A157)&gt;0,VLOOKUP(A157,Body!$A$4:$F$259,2,0),"")</f>
        <v>0.625</v>
      </c>
    </row>
    <row r="158" spans="1:9" x14ac:dyDescent="0.25">
      <c r="A158" s="13"/>
      <c r="B158" s="13">
        <f>Start.listina!O49</f>
        <v>96163</v>
      </c>
      <c r="C158" s="13" t="str">
        <f>Start.listina!P49</f>
        <v>Glaserová</v>
      </c>
      <c r="D158" s="13" t="str">
        <f>Start.listina!Q49</f>
        <v>Dana</v>
      </c>
      <c r="E158" s="13" t="str">
        <f>Start.listina!R49</f>
        <v>C.T.P. Club Ořech</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40</v>
      </c>
      <c r="B161" s="13">
        <f>Start.listina!I50</f>
        <v>15031</v>
      </c>
      <c r="C161" s="198" t="str">
        <f>Start.listina!J50</f>
        <v>Fárová</v>
      </c>
      <c r="D161" s="13" t="str">
        <f>Start.listina!K50</f>
        <v>Helena</v>
      </c>
      <c r="E161" s="13" t="str">
        <f>Start.listina!L50</f>
        <v>SKP Kulová osma</v>
      </c>
      <c r="F161" s="13"/>
      <c r="G161" s="90">
        <f>IF(N(A161)&gt;0,VLOOKUP(A161,Body!$A$4:$F$259,5,0),"")</f>
        <v>27.542109374999995</v>
      </c>
      <c r="H161" s="4">
        <f>IF(N(A161)&gt;0,VLOOKUP(A161,Body!$A$4:$F$259,6,0),"")</f>
        <v>0</v>
      </c>
      <c r="I161" s="4">
        <f>IF(N(A161)&gt;0,VLOOKUP(A161,Body!$A$4:$F$259,2,0),"")</f>
        <v>0.75</v>
      </c>
    </row>
    <row r="162" spans="1:9" x14ac:dyDescent="0.25">
      <c r="A162" s="13"/>
      <c r="B162" s="13">
        <f>Start.listina!O50</f>
        <v>15032</v>
      </c>
      <c r="C162" s="13" t="str">
        <f>Start.listina!P50</f>
        <v>Fára</v>
      </c>
      <c r="D162" s="13" t="str">
        <f>Start.listina!Q50</f>
        <v>Jindřich</v>
      </c>
      <c r="E162" s="13" t="str">
        <f>Start.listina!R50</f>
        <v>SKP Kulová osma</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Start.listina!AH51</f>
        <v>30</v>
      </c>
      <c r="B165" s="13">
        <f>Start.listina!I51</f>
        <v>13083</v>
      </c>
      <c r="C165" s="198" t="str">
        <f>Start.listina!J51</f>
        <v>Janoš</v>
      </c>
      <c r="D165" s="13" t="str">
        <f>Start.listina!K51</f>
        <v>Jiří</v>
      </c>
      <c r="E165" s="13" t="str">
        <f>Start.listina!L51</f>
        <v>CdP Loděnice</v>
      </c>
      <c r="F165" s="13"/>
      <c r="G165" s="90">
        <f>IF(N(A165)&gt;0,VLOOKUP(A165,Body!$A$4:$F$259,5,0),"")</f>
        <v>41.313164062499993</v>
      </c>
      <c r="H165" s="4">
        <f>IF(N(A165)&gt;0,VLOOKUP(A165,Body!$A$4:$F$259,6,0),"")</f>
        <v>0</v>
      </c>
      <c r="I165" s="4">
        <f>IF(N(A165)&gt;0,VLOOKUP(A165,Body!$A$4:$F$259,2,0),"")</f>
        <v>1.125</v>
      </c>
    </row>
    <row r="166" spans="1:9" x14ac:dyDescent="0.25">
      <c r="A166" s="13"/>
      <c r="B166" s="13" t="str">
        <f>Start.listina!O51</f>
        <v/>
      </c>
      <c r="C166" s="13" t="str">
        <f>Start.listina!P51</f>
        <v>Stanislav Fatka st.</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 ca="1">Start.listina!AH52</f>
        <v>50</v>
      </c>
      <c r="B169" s="13">
        <f>Start.listina!I52</f>
        <v>16085</v>
      </c>
      <c r="C169" s="198" t="str">
        <f>Start.listina!J52</f>
        <v>Procházka</v>
      </c>
      <c r="D169" s="13" t="str">
        <f>Start.listina!K52</f>
        <v>Josef</v>
      </c>
      <c r="E169" s="13" t="str">
        <f>Start.listina!L52</f>
        <v>SK Španielka Řepy</v>
      </c>
      <c r="F169" s="13"/>
      <c r="G169" s="90">
        <f ca="1">IF(N(A169)&gt;0,VLOOKUP(A169,Body!$A$4:$F$259,5,0),"")</f>
        <v>16.06623046875</v>
      </c>
      <c r="H169" s="4">
        <f ca="1">IF(N(A169)&gt;0,VLOOKUP(A169,Body!$A$4:$F$259,6,0),"")</f>
        <v>0</v>
      </c>
      <c r="I169" s="4">
        <f ca="1">IF(N(A169)&gt;0,VLOOKUP(A169,Body!$A$4:$F$259,2,0),"")</f>
        <v>0.4375</v>
      </c>
    </row>
    <row r="170" spans="1:9" x14ac:dyDescent="0.25">
      <c r="A170" s="13"/>
      <c r="B170" s="13">
        <f>Start.listina!O52</f>
        <v>16086</v>
      </c>
      <c r="C170" s="13" t="str">
        <f>Start.listina!P52</f>
        <v>Ptáček</v>
      </c>
      <c r="D170" s="13" t="str">
        <f>Start.listina!Q52</f>
        <v>Miroslav</v>
      </c>
      <c r="E170" s="13" t="str">
        <f>Start.listina!R52</f>
        <v>SK Španielka Řepy</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 ca="1">Start.listina!AH53</f>
        <v>15</v>
      </c>
      <c r="B173" s="13">
        <f>Start.listina!I53</f>
        <v>16077</v>
      </c>
      <c r="C173" s="198" t="str">
        <f>Start.listina!J53</f>
        <v>Holoubek</v>
      </c>
      <c r="D173" s="13" t="str">
        <f>Start.listina!K53</f>
        <v>Pavel</v>
      </c>
      <c r="E173" s="13" t="str">
        <f>Start.listina!L53</f>
        <v>SK Španielka Řepy</v>
      </c>
      <c r="F173" s="13"/>
      <c r="G173" s="90">
        <f ca="1">IF(N(A173)&gt;0,VLOOKUP(A173,Body!$A$4:$F$259,5,0),"")</f>
        <v>78.035976562499997</v>
      </c>
      <c r="H173" s="4">
        <f ca="1">IF(N(A173)&gt;0,VLOOKUP(A173,Body!$A$4:$F$259,6,0),"")</f>
        <v>0</v>
      </c>
      <c r="I173" s="4">
        <f ca="1">IF(N(A173)&gt;0,VLOOKUP(A173,Body!$A$4:$F$259,2,0),"")</f>
        <v>2.125</v>
      </c>
    </row>
    <row r="174" spans="1:9" x14ac:dyDescent="0.25">
      <c r="A174" s="13"/>
      <c r="B174" s="13">
        <f>Start.listina!O53</f>
        <v>16075</v>
      </c>
      <c r="C174" s="13" t="str">
        <f>Start.listina!P53</f>
        <v>Hladík</v>
      </c>
      <c r="D174" s="13" t="str">
        <f>Start.listina!Q53</f>
        <v>Jaroslav</v>
      </c>
      <c r="E174" s="13" t="str">
        <f>Start.listina!R53</f>
        <v>SK Španielka Řepy</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20</v>
      </c>
      <c r="B177" s="13">
        <f>Start.listina!I54</f>
        <v>14005</v>
      </c>
      <c r="C177" s="198" t="str">
        <f>Start.listina!J54</f>
        <v>Vais</v>
      </c>
      <c r="D177" s="13" t="str">
        <f>Start.listina!K54</f>
        <v>Martin</v>
      </c>
      <c r="E177" s="13" t="str">
        <f>Start.listina!L54</f>
        <v>JAPKO</v>
      </c>
      <c r="F177" s="13"/>
      <c r="G177" s="90">
        <f>IF(N(A177)&gt;0,VLOOKUP(A177,Body!$A$4:$F$259,5,0),"")</f>
        <v>64.264921874999999</v>
      </c>
      <c r="H177" s="4">
        <f>IF(N(A177)&gt;0,VLOOKUP(A177,Body!$A$4:$F$259,6,0),"")</f>
        <v>0</v>
      </c>
      <c r="I177" s="4">
        <f>IF(N(A177)&gt;0,VLOOKUP(A177,Body!$A$4:$F$259,2,0),"")</f>
        <v>1.75</v>
      </c>
    </row>
    <row r="178" spans="1:9" x14ac:dyDescent="0.25">
      <c r="A178" s="13"/>
      <c r="B178" s="13">
        <f>Start.listina!O54</f>
        <v>11047</v>
      </c>
      <c r="C178" s="13" t="str">
        <f>Start.listina!P54</f>
        <v>Kunc</v>
      </c>
      <c r="D178" s="13" t="str">
        <f>Start.listina!Q54</f>
        <v>Tomáš</v>
      </c>
      <c r="E178" s="13" t="str">
        <f>Start.listina!R54</f>
        <v>JAPKO</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 ca="1">Start.listina!AH55</f>
        <v>14</v>
      </c>
      <c r="B181" s="13">
        <f>Start.listina!I55</f>
        <v>16060</v>
      </c>
      <c r="C181" s="198" t="str">
        <f>Start.listina!J55</f>
        <v>Kremlík</v>
      </c>
      <c r="D181" s="13" t="str">
        <f>Start.listina!K55</f>
        <v>Miroslav</v>
      </c>
      <c r="E181" s="13" t="str">
        <f>Start.listina!L55</f>
        <v>Spolek Park Grébovka</v>
      </c>
      <c r="F181" s="13"/>
      <c r="G181" s="90">
        <f ca="1">IF(N(A181)&gt;0,VLOOKUP(A181,Body!$A$4:$F$259,5,0),"")</f>
        <v>82.626328124999986</v>
      </c>
      <c r="H181" s="4">
        <f ca="1">IF(N(A181)&gt;0,VLOOKUP(A181,Body!$A$4:$F$259,6,0),"")</f>
        <v>0</v>
      </c>
      <c r="I181" s="4">
        <f ca="1">IF(N(A181)&gt;0,VLOOKUP(A181,Body!$A$4:$F$259,2,0),"")</f>
        <v>2.25</v>
      </c>
    </row>
    <row r="182" spans="1:9" x14ac:dyDescent="0.25">
      <c r="A182" s="13"/>
      <c r="B182" s="13">
        <f>Start.listina!O55</f>
        <v>16064</v>
      </c>
      <c r="C182" s="13" t="str">
        <f>Start.listina!P55</f>
        <v>Hykl</v>
      </c>
      <c r="D182" s="13" t="str">
        <f>Start.listina!Q55</f>
        <v>Luboš</v>
      </c>
      <c r="E182" s="13" t="str">
        <f>Start.listina!R55</f>
        <v>Spolek Park Grébovka</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48</v>
      </c>
      <c r="B185" s="13">
        <f>Start.listina!I56</f>
        <v>29053</v>
      </c>
      <c r="C185" s="198" t="str">
        <f>Start.listina!J56</f>
        <v>Hytych</v>
      </c>
      <c r="D185" s="13" t="str">
        <f>Start.listina!K56</f>
        <v>Petr</v>
      </c>
      <c r="E185" s="13" t="str">
        <f>Start.listina!L56</f>
        <v>CdP Loděnice</v>
      </c>
      <c r="F185" s="13"/>
      <c r="G185" s="90">
        <f>IF(N(A185)&gt;0,VLOOKUP(A185,Body!$A$4:$F$259,5,0),"")</f>
        <v>18.361406249999998</v>
      </c>
      <c r="H185" s="4">
        <f>IF(N(A185)&gt;0,VLOOKUP(A185,Body!$A$4:$F$259,6,0),"")</f>
        <v>0</v>
      </c>
      <c r="I185" s="4">
        <f>IF(N(A185)&gt;0,VLOOKUP(A185,Body!$A$4:$F$259,2,0),"")</f>
        <v>0.5</v>
      </c>
    </row>
    <row r="186" spans="1:9" x14ac:dyDescent="0.25">
      <c r="A186" s="13"/>
      <c r="B186" s="13">
        <f>Start.listina!O56</f>
        <v>29051</v>
      </c>
      <c r="C186" s="13" t="str">
        <f>Start.listina!P56</f>
        <v>Fatka</v>
      </c>
      <c r="D186" s="13" t="str">
        <f>Start.listina!Q56</f>
        <v>Martin</v>
      </c>
      <c r="E186" s="13" t="str">
        <f>Start.listina!R56</f>
        <v>CdP Loděnice</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Start.listina!AH57</f>
        <v>42</v>
      </c>
      <c r="B189" s="13">
        <f>Start.listina!I57</f>
        <v>16006</v>
      </c>
      <c r="C189" s="198" t="str">
        <f>Start.listina!J57</f>
        <v>Soukupová</v>
      </c>
      <c r="D189" s="13" t="str">
        <f>Start.listina!K57</f>
        <v>Irena</v>
      </c>
      <c r="E189" s="13" t="str">
        <f>Start.listina!L57</f>
        <v>Club Rodamiento</v>
      </c>
      <c r="F189" s="13"/>
      <c r="G189" s="90">
        <f>IF(N(A189)&gt;0,VLOOKUP(A189,Body!$A$4:$F$259,5,0),"")</f>
        <v>25.246933593749997</v>
      </c>
      <c r="H189" s="4">
        <f>IF(N(A189)&gt;0,VLOOKUP(A189,Body!$A$4:$F$259,6,0),"")</f>
        <v>0</v>
      </c>
      <c r="I189" s="4">
        <f>IF(N(A189)&gt;0,VLOOKUP(A189,Body!$A$4:$F$259,2,0),"")</f>
        <v>0.6875</v>
      </c>
    </row>
    <row r="190" spans="1:9" x14ac:dyDescent="0.25">
      <c r="A190" s="13"/>
      <c r="B190" s="13">
        <f>Start.listina!O57</f>
        <v>16137</v>
      </c>
      <c r="C190" s="13" t="str">
        <f>Start.listina!P57</f>
        <v>Studníková</v>
      </c>
      <c r="D190" s="13" t="str">
        <f>Start.listina!Q57</f>
        <v>Agáta</v>
      </c>
      <c r="E190" s="13" t="str">
        <f>Start.listina!R57</f>
        <v>Club Rodamiento</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 ca="1">Start.listina!AH58</f>
        <v>46</v>
      </c>
      <c r="B193" s="13">
        <f>Start.listina!I58</f>
        <v>16082</v>
      </c>
      <c r="C193" s="198" t="str">
        <f>Start.listina!J58</f>
        <v>Pastorek</v>
      </c>
      <c r="D193" s="13" t="str">
        <f>Start.listina!K58</f>
        <v>Jaroslav</v>
      </c>
      <c r="E193" s="13" t="str">
        <f>Start.listina!L58</f>
        <v>SK Španielka Řepy</v>
      </c>
      <c r="F193" s="13"/>
      <c r="G193" s="90">
        <f ca="1">IF(N(A193)&gt;0,VLOOKUP(A193,Body!$A$4:$F$259,5,0),"")</f>
        <v>20.656582031249997</v>
      </c>
      <c r="H193" s="4">
        <f ca="1">IF(N(A193)&gt;0,VLOOKUP(A193,Body!$A$4:$F$259,6,0),"")</f>
        <v>0</v>
      </c>
      <c r="I193" s="4">
        <f ca="1">IF(N(A193)&gt;0,VLOOKUP(A193,Body!$A$4:$F$259,2,0),"")</f>
        <v>0.5625</v>
      </c>
    </row>
    <row r="194" spans="1:9" x14ac:dyDescent="0.25">
      <c r="A194" s="13"/>
      <c r="B194" s="13">
        <f>Start.listina!O58</f>
        <v>16072</v>
      </c>
      <c r="C194" s="13" t="str">
        <f>Start.listina!P58</f>
        <v>Gazdíková</v>
      </c>
      <c r="D194" s="13" t="str">
        <f>Start.listina!Q58</f>
        <v>Jiřina</v>
      </c>
      <c r="E194" s="13" t="str">
        <f>Start.listina!R58</f>
        <v>SK Španielka Řepy</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23</v>
      </c>
      <c r="B197" s="13">
        <f>Start.listina!I59</f>
        <v>16089</v>
      </c>
      <c r="C197" s="198" t="str">
        <f>Start.listina!J59</f>
        <v>Řezník</v>
      </c>
      <c r="D197" s="13" t="str">
        <f>Start.listina!K59</f>
        <v>Alois</v>
      </c>
      <c r="E197" s="13" t="str">
        <f>Start.listina!L59</f>
        <v>SK Španielka Řepy</v>
      </c>
      <c r="F197" s="13"/>
      <c r="G197" s="90">
        <f>IF(N(A197)&gt;0,VLOOKUP(A197,Body!$A$4:$F$259,5,0),"")</f>
        <v>57.379394531249993</v>
      </c>
      <c r="H197" s="4">
        <f>IF(N(A197)&gt;0,VLOOKUP(A197,Body!$A$4:$F$259,6,0),"")</f>
        <v>0</v>
      </c>
      <c r="I197" s="4">
        <f>IF(N(A197)&gt;0,VLOOKUP(A197,Body!$A$4:$F$259,2,0),"")</f>
        <v>1.5625</v>
      </c>
    </row>
    <row r="198" spans="1:9" x14ac:dyDescent="0.25">
      <c r="A198" s="13"/>
      <c r="B198" s="13">
        <f>Start.listina!O59</f>
        <v>16090</v>
      </c>
      <c r="C198" s="13" t="str">
        <f>Start.listina!P59</f>
        <v>Řezníková</v>
      </c>
      <c r="D198" s="13" t="str">
        <f>Start.listina!Q59</f>
        <v>Marie</v>
      </c>
      <c r="E198" s="13" t="str">
        <f>Start.listina!R59</f>
        <v>SK Španielka Řepy</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 ca="1">Start.listina!AH60</f>
        <v>19</v>
      </c>
      <c r="B201" s="13">
        <f>Start.listina!I60</f>
        <v>16068</v>
      </c>
      <c r="C201" s="198" t="str">
        <f>Start.listina!J60</f>
        <v>Čaněk</v>
      </c>
      <c r="D201" s="13" t="str">
        <f>Start.listina!K60</f>
        <v>Radovan</v>
      </c>
      <c r="E201" s="13" t="str">
        <f>Start.listina!L60</f>
        <v>SK Španielka Řepy</v>
      </c>
      <c r="F201" s="13"/>
      <c r="G201" s="90">
        <f ca="1">IF(N(A201)&gt;0,VLOOKUP(A201,Body!$A$4:$F$259,5,0),"")</f>
        <v>66.560097656249994</v>
      </c>
      <c r="H201" s="4">
        <f ca="1">IF(N(A201)&gt;0,VLOOKUP(A201,Body!$A$4:$F$259,6,0),"")</f>
        <v>0</v>
      </c>
      <c r="I201" s="4">
        <f ca="1">IF(N(A201)&gt;0,VLOOKUP(A201,Body!$A$4:$F$259,2,0),"")</f>
        <v>1.8125</v>
      </c>
    </row>
    <row r="202" spans="1:9" x14ac:dyDescent="0.25">
      <c r="A202" s="13"/>
      <c r="B202" s="13">
        <f>Start.listina!O60</f>
        <v>16076</v>
      </c>
      <c r="C202" s="13" t="str">
        <f>Start.listina!P60</f>
        <v>Hladíková</v>
      </c>
      <c r="D202" s="13" t="str">
        <f>Start.listina!Q60</f>
        <v>Eva</v>
      </c>
      <c r="E202" s="13" t="str">
        <f>Start.listina!R60</f>
        <v>SK Španielka Řepy</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36</v>
      </c>
      <c r="B205" s="13">
        <f>Start.listina!I61</f>
        <v>29054</v>
      </c>
      <c r="C205" s="198" t="str">
        <f>Start.listina!J61</f>
        <v>Tyrol</v>
      </c>
      <c r="D205" s="13" t="str">
        <f>Start.listina!K61</f>
        <v>Pavel</v>
      </c>
      <c r="E205" s="13" t="str">
        <f>Start.listina!L61</f>
        <v>CdP Loděnice</v>
      </c>
      <c r="F205" s="13"/>
      <c r="G205" s="90">
        <f>IF(N(A205)&gt;0,VLOOKUP(A205,Body!$A$4:$F$259,5,0),"")</f>
        <v>32.132460937499999</v>
      </c>
      <c r="H205" s="4">
        <f>IF(N(A205)&gt;0,VLOOKUP(A205,Body!$A$4:$F$259,6,0),"")</f>
        <v>0</v>
      </c>
      <c r="I205" s="4">
        <f>IF(N(A205)&gt;0,VLOOKUP(A205,Body!$A$4:$F$259,2,0),"")</f>
        <v>0.875</v>
      </c>
    </row>
    <row r="206" spans="1:9" x14ac:dyDescent="0.25">
      <c r="A206" s="13"/>
      <c r="B206" s="13" t="str">
        <f>Start.listina!O61</f>
        <v/>
      </c>
      <c r="C206" s="13" t="str">
        <f>Start.listina!P61</f>
        <v>Tereza Toncarová</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14"/>
  <sheetViews>
    <sheetView zoomScaleNormal="100" workbookViewId="0">
      <pane ySplit="4" topLeftCell="A404" activePane="bottomLeft" state="frozen"/>
      <selection activeCell="G8" sqref="G8"/>
      <selection pane="bottomLeft" activeCell="A407" sqref="A407"/>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1069</v>
      </c>
      <c r="B1" s="71"/>
      <c r="C1" s="71"/>
      <c r="D1" s="71"/>
      <c r="E1" s="72"/>
      <c r="F1" s="71"/>
      <c r="G1" s="71"/>
      <c r="H1" s="71"/>
      <c r="I1" s="109"/>
      <c r="J1" s="110"/>
      <c r="K1" s="266"/>
    </row>
    <row r="2" spans="1:11" ht="19.149999999999999" customHeight="1" x14ac:dyDescent="0.25">
      <c r="A2" s="143" t="s">
        <v>1070</v>
      </c>
      <c r="B2" s="143"/>
      <c r="C2" s="143"/>
      <c r="D2" s="143"/>
      <c r="E2" s="267">
        <v>42559</v>
      </c>
      <c r="F2" s="143"/>
      <c r="G2" s="143"/>
      <c r="H2" s="143"/>
      <c r="I2" s="143"/>
      <c r="J2" s="143"/>
      <c r="K2" s="143"/>
    </row>
    <row r="3" spans="1:11" ht="14.25" x14ac:dyDescent="0.3">
      <c r="F3" s="268" t="s">
        <v>800</v>
      </c>
    </row>
    <row r="4" spans="1:11" ht="13.5" x14ac:dyDescent="0.25">
      <c r="A4" s="108" t="s">
        <v>1072</v>
      </c>
      <c r="B4" s="108" t="s">
        <v>1073</v>
      </c>
      <c r="C4" s="108" t="s">
        <v>1074</v>
      </c>
      <c r="D4" s="108" t="s">
        <v>1075</v>
      </c>
      <c r="E4" s="108" t="s">
        <v>1076</v>
      </c>
      <c r="F4" s="108" t="s">
        <v>1077</v>
      </c>
      <c r="G4" s="108" t="s">
        <v>1078</v>
      </c>
      <c r="H4" s="108" t="s">
        <v>1079</v>
      </c>
      <c r="I4" s="108" t="s">
        <v>748</v>
      </c>
      <c r="J4" s="108" t="s">
        <v>1080</v>
      </c>
      <c r="K4" s="108" t="s">
        <v>801</v>
      </c>
    </row>
    <row r="5" spans="1:11" x14ac:dyDescent="0.25">
      <c r="A5">
        <v>14032</v>
      </c>
      <c r="B5" t="s">
        <v>1435</v>
      </c>
      <c r="C5" t="s">
        <v>194</v>
      </c>
      <c r="D5" t="s">
        <v>1053</v>
      </c>
      <c r="E5" t="s">
        <v>1399</v>
      </c>
      <c r="F5">
        <v>78</v>
      </c>
      <c r="G5">
        <v>1975</v>
      </c>
      <c r="H5">
        <v>670</v>
      </c>
      <c r="I5">
        <v>0</v>
      </c>
      <c r="J5">
        <v>0</v>
      </c>
      <c r="K5">
        <v>0</v>
      </c>
    </row>
    <row r="6" spans="1:11" x14ac:dyDescent="0.25">
      <c r="A6">
        <v>96126</v>
      </c>
      <c r="B6" t="s">
        <v>9</v>
      </c>
      <c r="C6" t="s">
        <v>10</v>
      </c>
      <c r="E6" t="s">
        <v>1131</v>
      </c>
      <c r="F6">
        <v>7</v>
      </c>
      <c r="G6">
        <v>1970</v>
      </c>
      <c r="H6">
        <v>671</v>
      </c>
      <c r="I6">
        <v>0</v>
      </c>
      <c r="J6">
        <v>0</v>
      </c>
      <c r="K6">
        <v>0</v>
      </c>
    </row>
    <row r="7" spans="1:11" x14ac:dyDescent="0.25">
      <c r="A7">
        <v>24317</v>
      </c>
      <c r="B7" t="s">
        <v>11</v>
      </c>
      <c r="C7" t="s">
        <v>13</v>
      </c>
      <c r="E7" t="s">
        <v>696</v>
      </c>
      <c r="F7">
        <v>33</v>
      </c>
      <c r="G7">
        <v>1954</v>
      </c>
      <c r="H7">
        <v>198</v>
      </c>
      <c r="I7">
        <v>13.345000000000001</v>
      </c>
      <c r="J7">
        <v>1022.861</v>
      </c>
      <c r="K7">
        <v>414</v>
      </c>
    </row>
    <row r="8" spans="1:11" x14ac:dyDescent="0.25">
      <c r="A8">
        <v>14091</v>
      </c>
      <c r="B8" t="s">
        <v>1436</v>
      </c>
      <c r="C8" t="s">
        <v>24</v>
      </c>
      <c r="E8" t="s">
        <v>1437</v>
      </c>
      <c r="F8">
        <v>79</v>
      </c>
      <c r="G8">
        <v>1987</v>
      </c>
      <c r="H8">
        <v>493</v>
      </c>
      <c r="I8">
        <v>1.9059999999999999</v>
      </c>
      <c r="J8">
        <v>141.81899999999999</v>
      </c>
      <c r="K8">
        <v>56</v>
      </c>
    </row>
    <row r="9" spans="1:11" x14ac:dyDescent="0.25">
      <c r="A9">
        <v>15030</v>
      </c>
      <c r="B9" t="s">
        <v>1436</v>
      </c>
      <c r="C9" t="s">
        <v>16</v>
      </c>
      <c r="D9" t="s">
        <v>1048</v>
      </c>
      <c r="E9" t="s">
        <v>1437</v>
      </c>
      <c r="F9">
        <v>79</v>
      </c>
      <c r="G9">
        <v>2001</v>
      </c>
      <c r="H9">
        <v>417</v>
      </c>
      <c r="I9">
        <v>3.7509999999999999</v>
      </c>
      <c r="J9">
        <v>253.92</v>
      </c>
      <c r="K9">
        <v>96</v>
      </c>
    </row>
    <row r="10" spans="1:11" x14ac:dyDescent="0.25">
      <c r="A10">
        <v>24250</v>
      </c>
      <c r="B10" t="s">
        <v>14</v>
      </c>
      <c r="C10" t="s">
        <v>15</v>
      </c>
      <c r="E10" t="s">
        <v>1125</v>
      </c>
      <c r="F10">
        <v>44</v>
      </c>
      <c r="G10">
        <v>1963</v>
      </c>
      <c r="H10">
        <v>672</v>
      </c>
      <c r="I10">
        <v>0</v>
      </c>
      <c r="J10">
        <v>0</v>
      </c>
      <c r="K10">
        <v>0</v>
      </c>
    </row>
    <row r="11" spans="1:11" x14ac:dyDescent="0.25">
      <c r="A11">
        <v>23036</v>
      </c>
      <c r="B11" t="s">
        <v>17</v>
      </c>
      <c r="C11" t="s">
        <v>18</v>
      </c>
      <c r="D11" t="s">
        <v>1053</v>
      </c>
      <c r="E11" t="s">
        <v>1125</v>
      </c>
      <c r="F11">
        <v>44</v>
      </c>
      <c r="G11">
        <v>1969</v>
      </c>
      <c r="H11">
        <v>673</v>
      </c>
      <c r="I11">
        <v>0</v>
      </c>
      <c r="J11">
        <v>0</v>
      </c>
      <c r="K11">
        <v>0</v>
      </c>
    </row>
    <row r="12" spans="1:11" x14ac:dyDescent="0.25">
      <c r="A12">
        <v>12050</v>
      </c>
      <c r="B12" t="s">
        <v>19</v>
      </c>
      <c r="C12" t="s">
        <v>20</v>
      </c>
      <c r="D12" t="s">
        <v>1053</v>
      </c>
      <c r="E12" t="s">
        <v>1142</v>
      </c>
      <c r="F12">
        <v>64</v>
      </c>
      <c r="G12">
        <v>1957</v>
      </c>
      <c r="H12">
        <v>502</v>
      </c>
      <c r="I12">
        <v>0.96899999999999997</v>
      </c>
      <c r="J12">
        <v>133.11099999999999</v>
      </c>
      <c r="K12">
        <v>88</v>
      </c>
    </row>
    <row r="13" spans="1:11" x14ac:dyDescent="0.25">
      <c r="A13">
        <v>10136</v>
      </c>
      <c r="B13" t="s">
        <v>21</v>
      </c>
      <c r="C13" t="s">
        <v>22</v>
      </c>
      <c r="E13" t="s">
        <v>1163</v>
      </c>
      <c r="F13">
        <v>61</v>
      </c>
      <c r="G13">
        <v>1978</v>
      </c>
      <c r="H13">
        <v>387</v>
      </c>
      <c r="I13">
        <v>7.6260000000000003</v>
      </c>
      <c r="J13">
        <v>303.339</v>
      </c>
      <c r="K13">
        <v>100</v>
      </c>
    </row>
    <row r="14" spans="1:11" x14ac:dyDescent="0.25">
      <c r="A14">
        <v>16014</v>
      </c>
      <c r="B14" t="s">
        <v>23</v>
      </c>
      <c r="C14" t="s">
        <v>15</v>
      </c>
      <c r="E14" t="s">
        <v>1103</v>
      </c>
      <c r="F14">
        <v>48</v>
      </c>
      <c r="G14">
        <v>1950</v>
      </c>
      <c r="H14">
        <v>624</v>
      </c>
      <c r="I14">
        <v>0.219</v>
      </c>
      <c r="J14">
        <v>36.197000000000003</v>
      </c>
      <c r="K14">
        <v>26</v>
      </c>
    </row>
    <row r="15" spans="1:11" x14ac:dyDescent="0.25">
      <c r="A15">
        <v>96209</v>
      </c>
      <c r="B15" t="s">
        <v>23</v>
      </c>
      <c r="C15" t="s">
        <v>24</v>
      </c>
      <c r="E15" t="s">
        <v>1147</v>
      </c>
      <c r="F15">
        <v>1</v>
      </c>
      <c r="G15">
        <v>1962</v>
      </c>
      <c r="H15">
        <v>355</v>
      </c>
      <c r="I15">
        <v>5.5010000000000003</v>
      </c>
      <c r="J15">
        <v>394.01</v>
      </c>
      <c r="K15">
        <v>168</v>
      </c>
    </row>
    <row r="16" spans="1:11" x14ac:dyDescent="0.25">
      <c r="A16">
        <v>23051</v>
      </c>
      <c r="B16" t="s">
        <v>25</v>
      </c>
      <c r="C16" t="s">
        <v>26</v>
      </c>
      <c r="D16" t="s">
        <v>1053</v>
      </c>
      <c r="E16" t="s">
        <v>1147</v>
      </c>
      <c r="F16">
        <v>1</v>
      </c>
      <c r="G16">
        <v>1992</v>
      </c>
      <c r="H16">
        <v>545</v>
      </c>
      <c r="I16">
        <v>2.125</v>
      </c>
      <c r="J16">
        <v>79.837999999999994</v>
      </c>
      <c r="K16">
        <v>0</v>
      </c>
    </row>
    <row r="17" spans="1:11" x14ac:dyDescent="0.25">
      <c r="A17">
        <v>96210</v>
      </c>
      <c r="B17" t="s">
        <v>25</v>
      </c>
      <c r="C17" t="s">
        <v>27</v>
      </c>
      <c r="D17" t="s">
        <v>1053</v>
      </c>
      <c r="E17" t="s">
        <v>1147</v>
      </c>
      <c r="F17">
        <v>1</v>
      </c>
      <c r="G17">
        <v>1962</v>
      </c>
      <c r="H17">
        <v>371</v>
      </c>
      <c r="I17">
        <v>4.3760000000000003</v>
      </c>
      <c r="J17">
        <v>352.10199999999998</v>
      </c>
      <c r="K17">
        <v>168</v>
      </c>
    </row>
    <row r="18" spans="1:11" x14ac:dyDescent="0.25">
      <c r="A18">
        <v>28003</v>
      </c>
      <c r="B18" t="s">
        <v>28</v>
      </c>
      <c r="C18" t="s">
        <v>15</v>
      </c>
      <c r="E18" t="s">
        <v>1116</v>
      </c>
      <c r="F18">
        <v>20</v>
      </c>
      <c r="G18">
        <v>1951</v>
      </c>
      <c r="H18">
        <v>613</v>
      </c>
      <c r="I18">
        <v>0.93799999999999994</v>
      </c>
      <c r="J18">
        <v>39.768999999999998</v>
      </c>
      <c r="K18">
        <v>0</v>
      </c>
    </row>
    <row r="19" spans="1:11" x14ac:dyDescent="0.25">
      <c r="A19">
        <v>13079</v>
      </c>
      <c r="B19" t="s">
        <v>29</v>
      </c>
      <c r="C19" t="s">
        <v>32</v>
      </c>
      <c r="E19" t="s">
        <v>1162</v>
      </c>
      <c r="F19">
        <v>51</v>
      </c>
      <c r="G19">
        <v>1956</v>
      </c>
      <c r="H19">
        <v>348</v>
      </c>
      <c r="I19">
        <v>8.4079999999999995</v>
      </c>
      <c r="J19">
        <v>412.29599999999999</v>
      </c>
      <c r="K19">
        <v>95</v>
      </c>
    </row>
    <row r="20" spans="1:11" x14ac:dyDescent="0.25">
      <c r="A20">
        <v>99527</v>
      </c>
      <c r="B20" t="s">
        <v>29</v>
      </c>
      <c r="C20" t="s">
        <v>32</v>
      </c>
      <c r="E20" t="s">
        <v>31</v>
      </c>
      <c r="F20">
        <v>29</v>
      </c>
      <c r="G20">
        <v>1961</v>
      </c>
      <c r="H20">
        <v>254</v>
      </c>
      <c r="I20">
        <v>12.093999999999999</v>
      </c>
      <c r="J20">
        <v>694.75699999999995</v>
      </c>
      <c r="K20">
        <v>231</v>
      </c>
    </row>
    <row r="21" spans="1:11" x14ac:dyDescent="0.25">
      <c r="A21">
        <v>99528</v>
      </c>
      <c r="B21" t="s">
        <v>29</v>
      </c>
      <c r="C21" t="s">
        <v>33</v>
      </c>
      <c r="E21" t="s">
        <v>31</v>
      </c>
      <c r="F21">
        <v>29</v>
      </c>
      <c r="G21">
        <v>1967</v>
      </c>
      <c r="H21">
        <v>330</v>
      </c>
      <c r="I21">
        <v>9.3759999999999994</v>
      </c>
      <c r="J21">
        <v>457.15</v>
      </c>
      <c r="K21">
        <v>104</v>
      </c>
    </row>
    <row r="22" spans="1:11" x14ac:dyDescent="0.25">
      <c r="A22">
        <v>14010</v>
      </c>
      <c r="B22" t="s">
        <v>1438</v>
      </c>
      <c r="C22" t="s">
        <v>109</v>
      </c>
      <c r="D22" t="s">
        <v>1053</v>
      </c>
      <c r="E22" t="s">
        <v>52</v>
      </c>
      <c r="F22">
        <v>16</v>
      </c>
      <c r="G22">
        <v>1975</v>
      </c>
      <c r="H22">
        <v>272</v>
      </c>
      <c r="I22">
        <v>9.8439999999999994</v>
      </c>
      <c r="J22">
        <v>624.20100000000002</v>
      </c>
      <c r="K22">
        <v>231</v>
      </c>
    </row>
    <row r="23" spans="1:11" x14ac:dyDescent="0.25">
      <c r="A23">
        <v>15042</v>
      </c>
      <c r="B23" t="s">
        <v>35</v>
      </c>
      <c r="C23" t="s">
        <v>18</v>
      </c>
      <c r="D23" t="s">
        <v>1053</v>
      </c>
      <c r="E23" t="s">
        <v>1162</v>
      </c>
      <c r="F23">
        <v>51</v>
      </c>
      <c r="G23">
        <v>1955</v>
      </c>
      <c r="H23">
        <v>349</v>
      </c>
      <c r="I23">
        <v>7.47</v>
      </c>
      <c r="J23">
        <v>409.267</v>
      </c>
      <c r="K23">
        <v>128</v>
      </c>
    </row>
    <row r="24" spans="1:11" x14ac:dyDescent="0.25">
      <c r="A24">
        <v>14008</v>
      </c>
      <c r="B24" t="s">
        <v>1439</v>
      </c>
      <c r="C24" t="s">
        <v>111</v>
      </c>
      <c r="E24" t="s">
        <v>1092</v>
      </c>
      <c r="F24">
        <v>30</v>
      </c>
      <c r="G24">
        <v>1978</v>
      </c>
      <c r="H24">
        <v>168</v>
      </c>
      <c r="I24">
        <v>19.533000000000001</v>
      </c>
      <c r="J24">
        <v>1300.963</v>
      </c>
      <c r="K24">
        <v>532</v>
      </c>
    </row>
    <row r="25" spans="1:11" x14ac:dyDescent="0.25">
      <c r="A25">
        <v>27012</v>
      </c>
      <c r="B25" t="s">
        <v>37</v>
      </c>
      <c r="C25" t="s">
        <v>24</v>
      </c>
      <c r="E25" t="s">
        <v>38</v>
      </c>
      <c r="F25">
        <v>59</v>
      </c>
      <c r="G25">
        <v>1984</v>
      </c>
      <c r="H25">
        <v>674</v>
      </c>
      <c r="I25">
        <v>0</v>
      </c>
      <c r="J25">
        <v>0</v>
      </c>
      <c r="K25">
        <v>0</v>
      </c>
    </row>
    <row r="26" spans="1:11" x14ac:dyDescent="0.25">
      <c r="A26">
        <v>27002</v>
      </c>
      <c r="B26" t="s">
        <v>37</v>
      </c>
      <c r="C26" t="s">
        <v>39</v>
      </c>
      <c r="E26" t="s">
        <v>38</v>
      </c>
      <c r="F26">
        <v>59</v>
      </c>
      <c r="G26">
        <v>1986</v>
      </c>
      <c r="H26">
        <v>666</v>
      </c>
      <c r="I26">
        <v>0.188</v>
      </c>
      <c r="J26">
        <v>3.9359999999999999</v>
      </c>
      <c r="K26">
        <v>0</v>
      </c>
    </row>
    <row r="27" spans="1:11" x14ac:dyDescent="0.25">
      <c r="A27">
        <v>27001</v>
      </c>
      <c r="B27" t="s">
        <v>37</v>
      </c>
      <c r="C27" t="s">
        <v>40</v>
      </c>
      <c r="E27" t="s">
        <v>38</v>
      </c>
      <c r="F27">
        <v>59</v>
      </c>
      <c r="G27">
        <v>1956</v>
      </c>
      <c r="H27">
        <v>506</v>
      </c>
      <c r="I27">
        <v>1.8440000000000001</v>
      </c>
      <c r="J27">
        <v>128.126</v>
      </c>
      <c r="K27">
        <v>61</v>
      </c>
    </row>
    <row r="28" spans="1:11" x14ac:dyDescent="0.25">
      <c r="A28">
        <v>27009</v>
      </c>
      <c r="B28" t="s">
        <v>41</v>
      </c>
      <c r="C28" t="s">
        <v>42</v>
      </c>
      <c r="D28" t="s">
        <v>1053</v>
      </c>
      <c r="E28" t="s">
        <v>38</v>
      </c>
      <c r="F28">
        <v>59</v>
      </c>
      <c r="G28">
        <v>1992</v>
      </c>
      <c r="H28">
        <v>481</v>
      </c>
      <c r="I28">
        <v>2.5</v>
      </c>
      <c r="J28">
        <v>161.62100000000001</v>
      </c>
      <c r="K28">
        <v>61</v>
      </c>
    </row>
    <row r="29" spans="1:11" x14ac:dyDescent="0.25">
      <c r="A29">
        <v>27081</v>
      </c>
      <c r="B29" t="s">
        <v>43</v>
      </c>
      <c r="C29" t="s">
        <v>44</v>
      </c>
      <c r="E29" t="s">
        <v>1164</v>
      </c>
      <c r="F29">
        <v>2</v>
      </c>
      <c r="G29">
        <v>1962</v>
      </c>
      <c r="H29">
        <v>643</v>
      </c>
      <c r="I29">
        <v>1.5940000000000001</v>
      </c>
      <c r="J29">
        <v>28.352</v>
      </c>
      <c r="K29">
        <v>0</v>
      </c>
    </row>
    <row r="30" spans="1:11" x14ac:dyDescent="0.25">
      <c r="A30">
        <v>24237</v>
      </c>
      <c r="B30" t="s">
        <v>45</v>
      </c>
      <c r="C30" t="s">
        <v>20</v>
      </c>
      <c r="D30" t="s">
        <v>1053</v>
      </c>
      <c r="E30" t="s">
        <v>680</v>
      </c>
      <c r="F30">
        <v>19</v>
      </c>
      <c r="G30">
        <v>1981</v>
      </c>
      <c r="H30">
        <v>675</v>
      </c>
      <c r="I30">
        <v>0</v>
      </c>
      <c r="J30">
        <v>0</v>
      </c>
      <c r="K30">
        <v>0</v>
      </c>
    </row>
    <row r="31" spans="1:11" x14ac:dyDescent="0.25">
      <c r="A31">
        <v>16067</v>
      </c>
      <c r="B31" t="s">
        <v>1440</v>
      </c>
      <c r="C31" t="s">
        <v>182</v>
      </c>
      <c r="D31" t="s">
        <v>1053</v>
      </c>
      <c r="E31" t="s">
        <v>1441</v>
      </c>
      <c r="F31">
        <v>84</v>
      </c>
      <c r="G31">
        <v>1946</v>
      </c>
      <c r="H31">
        <v>676</v>
      </c>
      <c r="I31">
        <v>0</v>
      </c>
      <c r="J31">
        <v>0</v>
      </c>
      <c r="K31">
        <v>0</v>
      </c>
    </row>
    <row r="32" spans="1:11" x14ac:dyDescent="0.25">
      <c r="A32">
        <v>15012</v>
      </c>
      <c r="B32" t="s">
        <v>1442</v>
      </c>
      <c r="C32" t="s">
        <v>16</v>
      </c>
      <c r="E32" t="s">
        <v>1134</v>
      </c>
      <c r="F32">
        <v>69</v>
      </c>
      <c r="G32">
        <v>1947</v>
      </c>
      <c r="H32">
        <v>560</v>
      </c>
      <c r="I32">
        <v>1.149</v>
      </c>
      <c r="J32">
        <v>68.528000000000006</v>
      </c>
      <c r="K32">
        <v>20</v>
      </c>
    </row>
    <row r="33" spans="1:11" x14ac:dyDescent="0.25">
      <c r="A33">
        <v>13001</v>
      </c>
      <c r="B33" t="s">
        <v>1165</v>
      </c>
      <c r="C33" t="s">
        <v>1166</v>
      </c>
      <c r="D33" t="s">
        <v>1053</v>
      </c>
      <c r="E33" t="s">
        <v>1119</v>
      </c>
      <c r="F33">
        <v>54</v>
      </c>
      <c r="G33">
        <v>1970</v>
      </c>
      <c r="H33">
        <v>65</v>
      </c>
      <c r="I33">
        <v>31.437999999999999</v>
      </c>
      <c r="J33">
        <v>2349.7339999999999</v>
      </c>
      <c r="K33">
        <v>1113</v>
      </c>
    </row>
    <row r="34" spans="1:11" x14ac:dyDescent="0.25">
      <c r="A34">
        <v>10100</v>
      </c>
      <c r="B34" t="s">
        <v>47</v>
      </c>
      <c r="C34" t="s">
        <v>33</v>
      </c>
      <c r="E34" t="s">
        <v>1167</v>
      </c>
      <c r="F34">
        <v>70</v>
      </c>
      <c r="G34">
        <v>1940</v>
      </c>
      <c r="H34">
        <v>677</v>
      </c>
      <c r="I34">
        <v>0</v>
      </c>
      <c r="J34">
        <v>0</v>
      </c>
      <c r="K34">
        <v>0</v>
      </c>
    </row>
    <row r="35" spans="1:11" x14ac:dyDescent="0.25">
      <c r="A35">
        <v>10101</v>
      </c>
      <c r="B35" t="s">
        <v>48</v>
      </c>
      <c r="C35" t="s">
        <v>49</v>
      </c>
      <c r="D35" t="s">
        <v>1053</v>
      </c>
      <c r="E35" t="s">
        <v>1167</v>
      </c>
      <c r="F35">
        <v>70</v>
      </c>
      <c r="G35">
        <v>1938</v>
      </c>
      <c r="H35">
        <v>678</v>
      </c>
      <c r="I35">
        <v>0</v>
      </c>
      <c r="J35">
        <v>0</v>
      </c>
      <c r="K35">
        <v>0</v>
      </c>
    </row>
    <row r="36" spans="1:11" x14ac:dyDescent="0.25">
      <c r="A36">
        <v>16049</v>
      </c>
      <c r="B36" t="s">
        <v>50</v>
      </c>
      <c r="C36" t="s">
        <v>15</v>
      </c>
      <c r="E36" t="s">
        <v>1443</v>
      </c>
      <c r="F36">
        <v>81</v>
      </c>
      <c r="G36">
        <v>1973</v>
      </c>
      <c r="H36">
        <v>227</v>
      </c>
      <c r="I36">
        <v>9.016</v>
      </c>
      <c r="J36">
        <v>844.84900000000005</v>
      </c>
      <c r="K36">
        <v>424</v>
      </c>
    </row>
    <row r="37" spans="1:11" x14ac:dyDescent="0.25">
      <c r="A37">
        <v>28050</v>
      </c>
      <c r="B37" t="s">
        <v>50</v>
      </c>
      <c r="C37" t="s">
        <v>33</v>
      </c>
      <c r="E37" t="s">
        <v>680</v>
      </c>
      <c r="F37">
        <v>19</v>
      </c>
      <c r="G37">
        <v>1952</v>
      </c>
      <c r="H37">
        <v>101</v>
      </c>
      <c r="I37">
        <v>30.5</v>
      </c>
      <c r="J37">
        <v>1902.9580000000001</v>
      </c>
      <c r="K37">
        <v>674</v>
      </c>
    </row>
    <row r="38" spans="1:11" x14ac:dyDescent="0.25">
      <c r="A38">
        <v>13025</v>
      </c>
      <c r="B38" t="s">
        <v>1168</v>
      </c>
      <c r="C38" t="s">
        <v>92</v>
      </c>
      <c r="E38" t="s">
        <v>1169</v>
      </c>
      <c r="F38">
        <v>76</v>
      </c>
      <c r="G38">
        <v>1979</v>
      </c>
      <c r="H38">
        <v>679</v>
      </c>
      <c r="I38">
        <v>0</v>
      </c>
      <c r="J38">
        <v>0</v>
      </c>
      <c r="K38">
        <v>0</v>
      </c>
    </row>
    <row r="39" spans="1:11" x14ac:dyDescent="0.25">
      <c r="A39">
        <v>13050</v>
      </c>
      <c r="B39" t="s">
        <v>1267</v>
      </c>
      <c r="C39" t="s">
        <v>137</v>
      </c>
      <c r="D39" t="s">
        <v>1053</v>
      </c>
      <c r="E39" t="s">
        <v>1167</v>
      </c>
      <c r="F39">
        <v>70</v>
      </c>
      <c r="G39">
        <v>1935</v>
      </c>
      <c r="H39">
        <v>609</v>
      </c>
      <c r="I39">
        <v>0.95299999999999996</v>
      </c>
      <c r="J39">
        <v>41.651000000000003</v>
      </c>
      <c r="K39">
        <v>0</v>
      </c>
    </row>
    <row r="40" spans="1:11" x14ac:dyDescent="0.25">
      <c r="A40">
        <v>28005</v>
      </c>
      <c r="B40" t="s">
        <v>53</v>
      </c>
      <c r="C40" t="s">
        <v>54</v>
      </c>
      <c r="E40" t="s">
        <v>1164</v>
      </c>
      <c r="F40">
        <v>2</v>
      </c>
      <c r="G40">
        <v>1953</v>
      </c>
      <c r="H40">
        <v>441</v>
      </c>
      <c r="I40">
        <v>2.4689999999999999</v>
      </c>
      <c r="J40">
        <v>227.54900000000001</v>
      </c>
      <c r="K40">
        <v>118</v>
      </c>
    </row>
    <row r="41" spans="1:11" x14ac:dyDescent="0.25">
      <c r="A41">
        <v>28056</v>
      </c>
      <c r="B41" t="s">
        <v>55</v>
      </c>
      <c r="C41" t="s">
        <v>36</v>
      </c>
      <c r="D41" t="s">
        <v>1053</v>
      </c>
      <c r="E41" t="s">
        <v>1164</v>
      </c>
      <c r="F41">
        <v>2</v>
      </c>
      <c r="G41">
        <v>1952</v>
      </c>
      <c r="H41">
        <v>680</v>
      </c>
      <c r="I41">
        <v>0</v>
      </c>
      <c r="J41">
        <v>0</v>
      </c>
      <c r="K41">
        <v>0</v>
      </c>
    </row>
    <row r="42" spans="1:11" x14ac:dyDescent="0.25">
      <c r="A42">
        <v>16015</v>
      </c>
      <c r="B42" t="s">
        <v>1444</v>
      </c>
      <c r="C42" t="s">
        <v>122</v>
      </c>
      <c r="D42" t="s">
        <v>1053</v>
      </c>
      <c r="E42" t="s">
        <v>1103</v>
      </c>
      <c r="F42">
        <v>48</v>
      </c>
      <c r="G42">
        <v>1947</v>
      </c>
      <c r="H42">
        <v>513</v>
      </c>
      <c r="I42">
        <v>1.1879999999999999</v>
      </c>
      <c r="J42">
        <v>118.04600000000001</v>
      </c>
      <c r="K42">
        <v>62</v>
      </c>
    </row>
    <row r="43" spans="1:11" x14ac:dyDescent="0.25">
      <c r="A43">
        <v>12033</v>
      </c>
      <c r="B43" t="s">
        <v>56</v>
      </c>
      <c r="C43" t="s">
        <v>57</v>
      </c>
      <c r="E43" t="s">
        <v>58</v>
      </c>
      <c r="F43">
        <v>73</v>
      </c>
      <c r="G43">
        <v>1948</v>
      </c>
      <c r="H43">
        <v>442</v>
      </c>
      <c r="I43">
        <v>5.6879999999999997</v>
      </c>
      <c r="J43">
        <v>226.422</v>
      </c>
      <c r="K43">
        <v>0</v>
      </c>
    </row>
    <row r="44" spans="1:11" x14ac:dyDescent="0.25">
      <c r="A44">
        <v>12030</v>
      </c>
      <c r="B44" t="s">
        <v>59</v>
      </c>
      <c r="C44" t="s">
        <v>60</v>
      </c>
      <c r="D44" t="s">
        <v>1053</v>
      </c>
      <c r="E44" t="s">
        <v>58</v>
      </c>
      <c r="F44">
        <v>73</v>
      </c>
      <c r="G44">
        <v>1948</v>
      </c>
      <c r="H44">
        <v>343</v>
      </c>
      <c r="I44">
        <v>7.7750000000000004</v>
      </c>
      <c r="J44">
        <v>425.16800000000001</v>
      </c>
      <c r="K44">
        <v>93</v>
      </c>
    </row>
    <row r="45" spans="1:11" x14ac:dyDescent="0.25">
      <c r="A45">
        <v>14081</v>
      </c>
      <c r="B45" t="s">
        <v>1445</v>
      </c>
      <c r="C45" t="s">
        <v>1188</v>
      </c>
      <c r="D45" t="s">
        <v>1053</v>
      </c>
      <c r="E45" t="s">
        <v>1437</v>
      </c>
      <c r="F45">
        <v>79</v>
      </c>
      <c r="G45">
        <v>1982</v>
      </c>
      <c r="H45">
        <v>171</v>
      </c>
      <c r="I45">
        <v>14.766999999999999</v>
      </c>
      <c r="J45">
        <v>1293.432</v>
      </c>
      <c r="K45">
        <v>657</v>
      </c>
    </row>
    <row r="46" spans="1:11" x14ac:dyDescent="0.25">
      <c r="A46">
        <v>12055</v>
      </c>
      <c r="B46" t="s">
        <v>62</v>
      </c>
      <c r="C46" t="s">
        <v>63</v>
      </c>
      <c r="D46" t="s">
        <v>1053</v>
      </c>
      <c r="E46" t="s">
        <v>1138</v>
      </c>
      <c r="F46">
        <v>21</v>
      </c>
      <c r="G46">
        <v>1946</v>
      </c>
      <c r="H46">
        <v>494</v>
      </c>
      <c r="I46">
        <v>3.9390000000000001</v>
      </c>
      <c r="J46">
        <v>141.12700000000001</v>
      </c>
      <c r="K46">
        <v>0</v>
      </c>
    </row>
    <row r="47" spans="1:11" x14ac:dyDescent="0.25">
      <c r="A47">
        <v>15040</v>
      </c>
      <c r="B47" t="s">
        <v>1446</v>
      </c>
      <c r="C47" t="s">
        <v>374</v>
      </c>
      <c r="E47" t="s">
        <v>1447</v>
      </c>
      <c r="F47">
        <v>6</v>
      </c>
      <c r="G47">
        <v>1974</v>
      </c>
      <c r="H47">
        <v>556</v>
      </c>
      <c r="I47">
        <v>0.75</v>
      </c>
      <c r="J47">
        <v>71.372</v>
      </c>
      <c r="K47">
        <v>38</v>
      </c>
    </row>
    <row r="48" spans="1:11" x14ac:dyDescent="0.25">
      <c r="A48">
        <v>15039</v>
      </c>
      <c r="B48" t="s">
        <v>1448</v>
      </c>
      <c r="C48" t="s">
        <v>171</v>
      </c>
      <c r="D48" t="s">
        <v>1053</v>
      </c>
      <c r="E48" t="s">
        <v>1447</v>
      </c>
      <c r="F48">
        <v>6</v>
      </c>
      <c r="G48">
        <v>1978</v>
      </c>
      <c r="H48">
        <v>681</v>
      </c>
      <c r="I48">
        <v>0</v>
      </c>
      <c r="J48">
        <v>0</v>
      </c>
      <c r="K48">
        <v>0</v>
      </c>
    </row>
    <row r="49" spans="1:11" x14ac:dyDescent="0.25">
      <c r="A49">
        <v>10076</v>
      </c>
      <c r="B49" t="s">
        <v>66</v>
      </c>
      <c r="C49" t="s">
        <v>67</v>
      </c>
      <c r="E49" t="s">
        <v>1134</v>
      </c>
      <c r="F49">
        <v>69</v>
      </c>
      <c r="G49">
        <v>1947</v>
      </c>
      <c r="H49">
        <v>271</v>
      </c>
      <c r="I49">
        <v>6.907</v>
      </c>
      <c r="J49">
        <v>627.71199999999999</v>
      </c>
      <c r="K49">
        <v>329</v>
      </c>
    </row>
    <row r="50" spans="1:11" x14ac:dyDescent="0.25">
      <c r="A50">
        <v>14033</v>
      </c>
      <c r="B50" t="s">
        <v>1449</v>
      </c>
      <c r="C50" t="s">
        <v>228</v>
      </c>
      <c r="E50" t="s">
        <v>1399</v>
      </c>
      <c r="F50">
        <v>78</v>
      </c>
      <c r="G50">
        <v>1969</v>
      </c>
      <c r="H50">
        <v>521</v>
      </c>
      <c r="I50">
        <v>0.79700000000000004</v>
      </c>
      <c r="J50">
        <v>106.55800000000001</v>
      </c>
      <c r="K50">
        <v>67</v>
      </c>
    </row>
    <row r="51" spans="1:11" x14ac:dyDescent="0.25">
      <c r="A51">
        <v>16002</v>
      </c>
      <c r="B51" t="s">
        <v>68</v>
      </c>
      <c r="C51" t="s">
        <v>46</v>
      </c>
      <c r="E51" t="s">
        <v>127</v>
      </c>
      <c r="F51">
        <v>62</v>
      </c>
      <c r="G51">
        <v>1978</v>
      </c>
      <c r="H51">
        <v>682</v>
      </c>
      <c r="I51">
        <v>0</v>
      </c>
      <c r="J51">
        <v>0</v>
      </c>
      <c r="K51">
        <v>0</v>
      </c>
    </row>
    <row r="52" spans="1:11" x14ac:dyDescent="0.25">
      <c r="A52">
        <v>25092</v>
      </c>
      <c r="B52" t="s">
        <v>68</v>
      </c>
      <c r="C52" t="s">
        <v>54</v>
      </c>
      <c r="E52" t="s">
        <v>1172</v>
      </c>
      <c r="F52">
        <v>24</v>
      </c>
      <c r="G52">
        <v>1969</v>
      </c>
      <c r="H52">
        <v>368</v>
      </c>
      <c r="I52">
        <v>7.1870000000000003</v>
      </c>
      <c r="J52">
        <v>366.94799999999998</v>
      </c>
      <c r="K52">
        <v>78</v>
      </c>
    </row>
    <row r="53" spans="1:11" x14ac:dyDescent="0.25">
      <c r="A53">
        <v>10072</v>
      </c>
      <c r="B53" t="s">
        <v>69</v>
      </c>
      <c r="C53" t="s">
        <v>46</v>
      </c>
      <c r="E53" t="s">
        <v>1123</v>
      </c>
      <c r="F53">
        <v>27</v>
      </c>
      <c r="G53">
        <v>1956</v>
      </c>
      <c r="H53">
        <v>294</v>
      </c>
      <c r="I53">
        <v>9.032</v>
      </c>
      <c r="J53">
        <v>549.70799999999997</v>
      </c>
      <c r="K53">
        <v>224</v>
      </c>
    </row>
    <row r="54" spans="1:11" x14ac:dyDescent="0.25">
      <c r="A54">
        <v>10009</v>
      </c>
      <c r="B54" t="s">
        <v>70</v>
      </c>
      <c r="C54" t="s">
        <v>67</v>
      </c>
      <c r="E54" t="s">
        <v>1173</v>
      </c>
      <c r="F54">
        <v>66</v>
      </c>
      <c r="G54">
        <v>1949</v>
      </c>
      <c r="H54">
        <v>683</v>
      </c>
      <c r="I54">
        <v>0</v>
      </c>
      <c r="J54">
        <v>0</v>
      </c>
      <c r="K54">
        <v>0</v>
      </c>
    </row>
    <row r="55" spans="1:11" x14ac:dyDescent="0.25">
      <c r="A55">
        <v>16050</v>
      </c>
      <c r="B55" t="s">
        <v>1450</v>
      </c>
      <c r="C55" t="s">
        <v>78</v>
      </c>
      <c r="E55" t="s">
        <v>1443</v>
      </c>
      <c r="F55">
        <v>81</v>
      </c>
      <c r="G55">
        <v>1958</v>
      </c>
      <c r="H55">
        <v>309</v>
      </c>
      <c r="I55">
        <v>5.7350000000000003</v>
      </c>
      <c r="J55">
        <v>512.87400000000002</v>
      </c>
      <c r="K55">
        <v>241</v>
      </c>
    </row>
    <row r="56" spans="1:11" x14ac:dyDescent="0.25">
      <c r="A56">
        <v>16028</v>
      </c>
      <c r="B56" t="s">
        <v>1451</v>
      </c>
      <c r="C56" t="s">
        <v>101</v>
      </c>
      <c r="D56" t="s">
        <v>1053</v>
      </c>
      <c r="E56" t="s">
        <v>31</v>
      </c>
      <c r="F56">
        <v>29</v>
      </c>
      <c r="G56">
        <v>1968</v>
      </c>
      <c r="H56">
        <v>562</v>
      </c>
      <c r="I56">
        <v>1.0629999999999999</v>
      </c>
      <c r="J56">
        <v>65.33</v>
      </c>
      <c r="K56">
        <v>25</v>
      </c>
    </row>
    <row r="57" spans="1:11" x14ac:dyDescent="0.25">
      <c r="A57">
        <v>16055</v>
      </c>
      <c r="B57" t="s">
        <v>1452</v>
      </c>
      <c r="C57" t="s">
        <v>111</v>
      </c>
      <c r="E57" t="s">
        <v>1453</v>
      </c>
      <c r="F57">
        <v>82</v>
      </c>
      <c r="G57">
        <v>1975</v>
      </c>
      <c r="H57">
        <v>600</v>
      </c>
      <c r="I57">
        <v>1.125</v>
      </c>
      <c r="J57">
        <v>46.679000000000002</v>
      </c>
      <c r="K57">
        <v>0</v>
      </c>
    </row>
    <row r="58" spans="1:11" x14ac:dyDescent="0.25">
      <c r="A58">
        <v>13055</v>
      </c>
      <c r="B58" t="s">
        <v>1268</v>
      </c>
      <c r="C58" t="s">
        <v>34</v>
      </c>
      <c r="E58" t="s">
        <v>1092</v>
      </c>
      <c r="F58">
        <v>30</v>
      </c>
      <c r="G58">
        <v>1971</v>
      </c>
      <c r="H58">
        <v>325</v>
      </c>
      <c r="I58">
        <v>10.595000000000001</v>
      </c>
      <c r="J58">
        <v>466.791</v>
      </c>
      <c r="K58">
        <v>63</v>
      </c>
    </row>
    <row r="59" spans="1:11" x14ac:dyDescent="0.25">
      <c r="A59">
        <v>14078</v>
      </c>
      <c r="B59" t="s">
        <v>1454</v>
      </c>
      <c r="C59" t="s">
        <v>34</v>
      </c>
      <c r="E59" t="s">
        <v>1437</v>
      </c>
      <c r="F59">
        <v>79</v>
      </c>
      <c r="G59">
        <v>1985</v>
      </c>
      <c r="H59">
        <v>437</v>
      </c>
      <c r="I59">
        <v>2.2189999999999999</v>
      </c>
      <c r="J59">
        <v>231.51499999999999</v>
      </c>
      <c r="K59">
        <v>129</v>
      </c>
    </row>
    <row r="60" spans="1:11" x14ac:dyDescent="0.25">
      <c r="A60">
        <v>12052</v>
      </c>
      <c r="B60" t="s">
        <v>1455</v>
      </c>
      <c r="C60" t="s">
        <v>1456</v>
      </c>
      <c r="E60" t="s">
        <v>31</v>
      </c>
      <c r="F60">
        <v>29</v>
      </c>
      <c r="G60">
        <v>1989</v>
      </c>
      <c r="H60">
        <v>554</v>
      </c>
      <c r="I60">
        <v>0.96899999999999997</v>
      </c>
      <c r="J60">
        <v>72.897000000000006</v>
      </c>
      <c r="K60">
        <v>32</v>
      </c>
    </row>
    <row r="61" spans="1:11" x14ac:dyDescent="0.25">
      <c r="A61">
        <v>96225</v>
      </c>
      <c r="B61" t="s">
        <v>71</v>
      </c>
      <c r="C61" t="s">
        <v>73</v>
      </c>
      <c r="E61" t="s">
        <v>1174</v>
      </c>
      <c r="F61">
        <v>28</v>
      </c>
      <c r="G61">
        <v>1950</v>
      </c>
      <c r="H61">
        <v>450</v>
      </c>
      <c r="I61">
        <v>5.8129999999999997</v>
      </c>
      <c r="J61">
        <v>209.405</v>
      </c>
      <c r="K61">
        <v>0</v>
      </c>
    </row>
    <row r="62" spans="1:11" x14ac:dyDescent="0.25">
      <c r="A62">
        <v>23049</v>
      </c>
      <c r="B62" t="s">
        <v>71</v>
      </c>
      <c r="C62" t="s">
        <v>74</v>
      </c>
      <c r="E62" t="s">
        <v>1125</v>
      </c>
      <c r="F62">
        <v>44</v>
      </c>
      <c r="G62">
        <v>1985</v>
      </c>
      <c r="H62">
        <v>468</v>
      </c>
      <c r="I62">
        <v>3.4060000000000001</v>
      </c>
      <c r="J62">
        <v>187.292</v>
      </c>
      <c r="K62">
        <v>49</v>
      </c>
    </row>
    <row r="63" spans="1:11" x14ac:dyDescent="0.25">
      <c r="A63">
        <v>23048</v>
      </c>
      <c r="B63" t="s">
        <v>71</v>
      </c>
      <c r="C63" t="s">
        <v>75</v>
      </c>
      <c r="E63" t="s">
        <v>1125</v>
      </c>
      <c r="F63">
        <v>44</v>
      </c>
      <c r="G63">
        <v>1961</v>
      </c>
      <c r="H63">
        <v>92</v>
      </c>
      <c r="I63">
        <v>27.25</v>
      </c>
      <c r="J63">
        <v>1991.662</v>
      </c>
      <c r="K63">
        <v>903</v>
      </c>
    </row>
    <row r="64" spans="1:11" x14ac:dyDescent="0.25">
      <c r="A64">
        <v>23033</v>
      </c>
      <c r="B64" t="s">
        <v>76</v>
      </c>
      <c r="C64" t="s">
        <v>42</v>
      </c>
      <c r="D64" t="s">
        <v>1053</v>
      </c>
      <c r="E64" t="s">
        <v>1125</v>
      </c>
      <c r="F64">
        <v>44</v>
      </c>
      <c r="G64">
        <v>1963</v>
      </c>
      <c r="H64">
        <v>684</v>
      </c>
      <c r="I64">
        <v>0</v>
      </c>
      <c r="J64">
        <v>0</v>
      </c>
      <c r="K64">
        <v>0</v>
      </c>
    </row>
    <row r="65" spans="1:11" x14ac:dyDescent="0.25">
      <c r="A65">
        <v>26011</v>
      </c>
      <c r="B65" t="s">
        <v>77</v>
      </c>
      <c r="C65" t="s">
        <v>78</v>
      </c>
      <c r="E65" t="s">
        <v>1147</v>
      </c>
      <c r="F65">
        <v>1</v>
      </c>
      <c r="G65">
        <v>1987</v>
      </c>
      <c r="H65">
        <v>32</v>
      </c>
      <c r="I65">
        <v>36</v>
      </c>
      <c r="J65">
        <v>2898.0819999999999</v>
      </c>
      <c r="K65">
        <v>1376</v>
      </c>
    </row>
    <row r="66" spans="1:11" x14ac:dyDescent="0.25">
      <c r="A66">
        <v>16118</v>
      </c>
      <c r="B66" t="s">
        <v>1716</v>
      </c>
      <c r="C66" t="s">
        <v>94</v>
      </c>
      <c r="D66" t="s">
        <v>1053</v>
      </c>
      <c r="E66" t="s">
        <v>1437</v>
      </c>
      <c r="F66">
        <v>79</v>
      </c>
      <c r="G66">
        <v>1986</v>
      </c>
      <c r="H66">
        <v>259</v>
      </c>
      <c r="I66">
        <v>5.5869999999999997</v>
      </c>
      <c r="J66">
        <v>673.02200000000005</v>
      </c>
      <c r="K66">
        <v>397</v>
      </c>
    </row>
    <row r="67" spans="1:11" x14ac:dyDescent="0.25">
      <c r="A67">
        <v>11049</v>
      </c>
      <c r="B67" t="s">
        <v>79</v>
      </c>
      <c r="C67" t="s">
        <v>80</v>
      </c>
      <c r="E67" t="s">
        <v>1147</v>
      </c>
      <c r="F67">
        <v>1</v>
      </c>
      <c r="G67">
        <v>1953</v>
      </c>
      <c r="H67">
        <v>654</v>
      </c>
      <c r="I67">
        <v>9.4E-2</v>
      </c>
      <c r="J67">
        <v>21.37</v>
      </c>
      <c r="K67">
        <v>17</v>
      </c>
    </row>
    <row r="68" spans="1:11" x14ac:dyDescent="0.25">
      <c r="A68">
        <v>16033</v>
      </c>
      <c r="B68" t="s">
        <v>1457</v>
      </c>
      <c r="C68" t="s">
        <v>72</v>
      </c>
      <c r="E68" t="s">
        <v>1086</v>
      </c>
      <c r="F68">
        <v>22</v>
      </c>
      <c r="G68">
        <v>1977</v>
      </c>
      <c r="H68">
        <v>317</v>
      </c>
      <c r="I68">
        <v>7.4459999999999997</v>
      </c>
      <c r="J68">
        <v>494.92200000000003</v>
      </c>
      <c r="K68">
        <v>227</v>
      </c>
    </row>
    <row r="69" spans="1:11" x14ac:dyDescent="0.25">
      <c r="A69">
        <v>22957</v>
      </c>
      <c r="B69" t="s">
        <v>1458</v>
      </c>
      <c r="C69" t="s">
        <v>1459</v>
      </c>
      <c r="E69" t="s">
        <v>680</v>
      </c>
      <c r="F69">
        <v>19</v>
      </c>
      <c r="G69">
        <v>1967</v>
      </c>
      <c r="H69">
        <v>685</v>
      </c>
      <c r="I69">
        <v>0</v>
      </c>
      <c r="J69">
        <v>0</v>
      </c>
      <c r="K69">
        <v>0</v>
      </c>
    </row>
    <row r="70" spans="1:11" x14ac:dyDescent="0.25">
      <c r="A70">
        <v>16036</v>
      </c>
      <c r="B70" t="s">
        <v>1460</v>
      </c>
      <c r="C70" t="s">
        <v>358</v>
      </c>
      <c r="D70" t="s">
        <v>1053</v>
      </c>
      <c r="E70" t="s">
        <v>1167</v>
      </c>
      <c r="F70">
        <v>70</v>
      </c>
      <c r="G70">
        <v>1953</v>
      </c>
      <c r="H70">
        <v>686</v>
      </c>
      <c r="I70">
        <v>0</v>
      </c>
      <c r="J70">
        <v>0</v>
      </c>
      <c r="K70">
        <v>0</v>
      </c>
    </row>
    <row r="71" spans="1:11" x14ac:dyDescent="0.25">
      <c r="A71">
        <v>96005</v>
      </c>
      <c r="B71" t="s">
        <v>81</v>
      </c>
      <c r="C71" t="s">
        <v>72</v>
      </c>
      <c r="E71" t="s">
        <v>1122</v>
      </c>
      <c r="F71">
        <v>63</v>
      </c>
      <c r="G71">
        <v>1946</v>
      </c>
      <c r="H71">
        <v>68</v>
      </c>
      <c r="I71">
        <v>27.25</v>
      </c>
      <c r="J71">
        <v>2285.0909999999999</v>
      </c>
      <c r="K71">
        <v>1188</v>
      </c>
    </row>
    <row r="72" spans="1:11" x14ac:dyDescent="0.25">
      <c r="A72">
        <v>16025</v>
      </c>
      <c r="B72" t="s">
        <v>1461</v>
      </c>
      <c r="C72" t="s">
        <v>1462</v>
      </c>
      <c r="D72" t="s">
        <v>1053</v>
      </c>
      <c r="E72" t="s">
        <v>1116</v>
      </c>
      <c r="F72">
        <v>20</v>
      </c>
      <c r="G72">
        <v>1984</v>
      </c>
      <c r="H72">
        <v>687</v>
      </c>
      <c r="I72">
        <v>0</v>
      </c>
      <c r="J72">
        <v>0</v>
      </c>
      <c r="K72">
        <v>0</v>
      </c>
    </row>
    <row r="73" spans="1:11" x14ac:dyDescent="0.25">
      <c r="A73">
        <v>13006</v>
      </c>
      <c r="B73" t="s">
        <v>83</v>
      </c>
      <c r="C73" t="s">
        <v>84</v>
      </c>
      <c r="E73" t="s">
        <v>1175</v>
      </c>
      <c r="F73">
        <v>75</v>
      </c>
      <c r="G73">
        <v>1987</v>
      </c>
      <c r="H73">
        <v>339</v>
      </c>
      <c r="I73">
        <v>3.375</v>
      </c>
      <c r="J73">
        <v>430.53800000000001</v>
      </c>
      <c r="K73">
        <v>263</v>
      </c>
    </row>
    <row r="74" spans="1:11" x14ac:dyDescent="0.25">
      <c r="A74">
        <v>13005</v>
      </c>
      <c r="B74" t="s">
        <v>83</v>
      </c>
      <c r="C74" t="s">
        <v>85</v>
      </c>
      <c r="E74" t="s">
        <v>1175</v>
      </c>
      <c r="F74">
        <v>75</v>
      </c>
      <c r="G74">
        <v>1963</v>
      </c>
      <c r="H74">
        <v>27</v>
      </c>
      <c r="I74">
        <v>36.75</v>
      </c>
      <c r="J74">
        <v>3081.08</v>
      </c>
      <c r="K74">
        <v>1595</v>
      </c>
    </row>
    <row r="75" spans="1:11" x14ac:dyDescent="0.25">
      <c r="A75">
        <v>13008</v>
      </c>
      <c r="B75" t="s">
        <v>83</v>
      </c>
      <c r="C75" t="s">
        <v>54</v>
      </c>
      <c r="E75" t="s">
        <v>1175</v>
      </c>
      <c r="F75">
        <v>75</v>
      </c>
      <c r="G75">
        <v>1989</v>
      </c>
      <c r="H75">
        <v>688</v>
      </c>
      <c r="I75">
        <v>0</v>
      </c>
      <c r="J75">
        <v>0</v>
      </c>
      <c r="K75">
        <v>0</v>
      </c>
    </row>
    <row r="76" spans="1:11" x14ac:dyDescent="0.25">
      <c r="A76">
        <v>13007</v>
      </c>
      <c r="B76" t="s">
        <v>86</v>
      </c>
      <c r="C76" t="s">
        <v>20</v>
      </c>
      <c r="D76" t="s">
        <v>1053</v>
      </c>
      <c r="E76" t="s">
        <v>1175</v>
      </c>
      <c r="F76">
        <v>75</v>
      </c>
      <c r="G76">
        <v>1966</v>
      </c>
      <c r="H76">
        <v>33</v>
      </c>
      <c r="I76">
        <v>33.75</v>
      </c>
      <c r="J76">
        <v>2844.768</v>
      </c>
      <c r="K76">
        <v>1412</v>
      </c>
    </row>
    <row r="77" spans="1:11" x14ac:dyDescent="0.25">
      <c r="A77">
        <v>26029</v>
      </c>
      <c r="B77" t="s">
        <v>87</v>
      </c>
      <c r="C77" t="s">
        <v>88</v>
      </c>
      <c r="E77" t="s">
        <v>1092</v>
      </c>
      <c r="F77">
        <v>30</v>
      </c>
      <c r="G77">
        <v>1996</v>
      </c>
      <c r="H77">
        <v>320</v>
      </c>
      <c r="I77">
        <v>8.282</v>
      </c>
      <c r="J77">
        <v>489.59</v>
      </c>
      <c r="K77">
        <v>171</v>
      </c>
    </row>
    <row r="78" spans="1:11" x14ac:dyDescent="0.25">
      <c r="A78">
        <v>20700</v>
      </c>
      <c r="B78" t="s">
        <v>89</v>
      </c>
      <c r="C78" t="s">
        <v>90</v>
      </c>
      <c r="D78" t="s">
        <v>1053</v>
      </c>
      <c r="E78" t="s">
        <v>678</v>
      </c>
      <c r="F78">
        <v>17</v>
      </c>
      <c r="G78">
        <v>1970</v>
      </c>
      <c r="H78">
        <v>367</v>
      </c>
      <c r="I78">
        <v>2.75</v>
      </c>
      <c r="J78">
        <v>367.10599999999999</v>
      </c>
      <c r="K78">
        <v>236</v>
      </c>
    </row>
    <row r="79" spans="1:11" x14ac:dyDescent="0.25">
      <c r="A79">
        <v>96034</v>
      </c>
      <c r="B79" t="s">
        <v>91</v>
      </c>
      <c r="C79" t="s">
        <v>92</v>
      </c>
      <c r="E79" t="s">
        <v>1147</v>
      </c>
      <c r="F79">
        <v>1</v>
      </c>
      <c r="G79">
        <v>1966</v>
      </c>
      <c r="H79">
        <v>30</v>
      </c>
      <c r="I79">
        <v>43.875</v>
      </c>
      <c r="J79">
        <v>3014.8589999999999</v>
      </c>
      <c r="K79">
        <v>1291</v>
      </c>
    </row>
    <row r="80" spans="1:11" x14ac:dyDescent="0.25">
      <c r="A80">
        <v>98425</v>
      </c>
      <c r="B80" t="s">
        <v>91</v>
      </c>
      <c r="C80" t="s">
        <v>582</v>
      </c>
      <c r="E80" t="s">
        <v>1176</v>
      </c>
      <c r="F80">
        <v>42</v>
      </c>
      <c r="G80">
        <v>1946</v>
      </c>
      <c r="H80">
        <v>360</v>
      </c>
      <c r="I80">
        <v>8.3290000000000006</v>
      </c>
      <c r="J80">
        <v>387.14800000000002</v>
      </c>
      <c r="K80">
        <v>69</v>
      </c>
    </row>
    <row r="81" spans="1:11" x14ac:dyDescent="0.25">
      <c r="A81">
        <v>13040</v>
      </c>
      <c r="B81" t="s">
        <v>91</v>
      </c>
      <c r="C81" t="s">
        <v>246</v>
      </c>
      <c r="D81" t="s">
        <v>1048</v>
      </c>
      <c r="E81" t="s">
        <v>1147</v>
      </c>
      <c r="F81">
        <v>1</v>
      </c>
      <c r="G81">
        <v>2003</v>
      </c>
      <c r="H81">
        <v>62</v>
      </c>
      <c r="I81">
        <v>39.125</v>
      </c>
      <c r="J81">
        <v>2360.1289999999999</v>
      </c>
      <c r="K81">
        <v>913</v>
      </c>
    </row>
    <row r="82" spans="1:11" x14ac:dyDescent="0.25">
      <c r="A82">
        <v>96043</v>
      </c>
      <c r="B82" t="s">
        <v>93</v>
      </c>
      <c r="C82" t="s">
        <v>94</v>
      </c>
      <c r="D82" t="s">
        <v>1053</v>
      </c>
      <c r="E82" t="s">
        <v>1147</v>
      </c>
      <c r="F82">
        <v>1</v>
      </c>
      <c r="G82">
        <v>1973</v>
      </c>
      <c r="H82">
        <v>305</v>
      </c>
      <c r="I82">
        <v>9.375</v>
      </c>
      <c r="J82">
        <v>524.84299999999996</v>
      </c>
      <c r="K82">
        <v>153</v>
      </c>
    </row>
    <row r="83" spans="1:11" x14ac:dyDescent="0.25">
      <c r="A83">
        <v>26009</v>
      </c>
      <c r="B83" t="s">
        <v>95</v>
      </c>
      <c r="C83" t="s">
        <v>96</v>
      </c>
      <c r="E83" t="s">
        <v>1147</v>
      </c>
      <c r="F83">
        <v>1</v>
      </c>
      <c r="G83">
        <v>1956</v>
      </c>
      <c r="H83">
        <v>436</v>
      </c>
      <c r="I83">
        <v>6.1879999999999997</v>
      </c>
      <c r="J83">
        <v>231.85900000000001</v>
      </c>
      <c r="K83">
        <v>17</v>
      </c>
    </row>
    <row r="84" spans="1:11" x14ac:dyDescent="0.25">
      <c r="A84">
        <v>28008</v>
      </c>
      <c r="B84" t="s">
        <v>97</v>
      </c>
      <c r="C84" t="s">
        <v>98</v>
      </c>
      <c r="D84" t="s">
        <v>1053</v>
      </c>
      <c r="E84" t="s">
        <v>1147</v>
      </c>
      <c r="F84">
        <v>1</v>
      </c>
      <c r="G84">
        <v>1956</v>
      </c>
      <c r="H84">
        <v>515</v>
      </c>
      <c r="I84">
        <v>3.532</v>
      </c>
      <c r="J84">
        <v>114.25</v>
      </c>
      <c r="K84">
        <v>0</v>
      </c>
    </row>
    <row r="85" spans="1:11" x14ac:dyDescent="0.25">
      <c r="A85">
        <v>96141</v>
      </c>
      <c r="B85" t="s">
        <v>99</v>
      </c>
      <c r="C85" t="s">
        <v>46</v>
      </c>
      <c r="E85" t="s">
        <v>1136</v>
      </c>
      <c r="F85">
        <v>13</v>
      </c>
      <c r="G85">
        <v>1958</v>
      </c>
      <c r="H85">
        <v>689</v>
      </c>
      <c r="I85">
        <v>0</v>
      </c>
      <c r="J85">
        <v>0</v>
      </c>
      <c r="K85">
        <v>0</v>
      </c>
    </row>
    <row r="86" spans="1:11" x14ac:dyDescent="0.25">
      <c r="A86">
        <v>96181</v>
      </c>
      <c r="B86" t="s">
        <v>100</v>
      </c>
      <c r="C86" t="s">
        <v>101</v>
      </c>
      <c r="D86" t="s">
        <v>1053</v>
      </c>
      <c r="E86" t="s">
        <v>1136</v>
      </c>
      <c r="F86">
        <v>13</v>
      </c>
      <c r="G86">
        <v>1961</v>
      </c>
      <c r="H86">
        <v>563</v>
      </c>
      <c r="I86">
        <v>3.8759999999999999</v>
      </c>
      <c r="J86">
        <v>65.286000000000001</v>
      </c>
      <c r="K86">
        <v>0</v>
      </c>
    </row>
    <row r="87" spans="1:11" x14ac:dyDescent="0.25">
      <c r="A87">
        <v>13045</v>
      </c>
      <c r="B87" t="s">
        <v>1269</v>
      </c>
      <c r="C87" t="s">
        <v>33</v>
      </c>
      <c r="E87" t="s">
        <v>1116</v>
      </c>
      <c r="F87">
        <v>20</v>
      </c>
      <c r="G87">
        <v>1950</v>
      </c>
      <c r="H87">
        <v>394</v>
      </c>
      <c r="I87">
        <v>7.1879999999999997</v>
      </c>
      <c r="J87">
        <v>278.89600000000002</v>
      </c>
      <c r="K87">
        <v>0</v>
      </c>
    </row>
    <row r="88" spans="1:11" x14ac:dyDescent="0.25">
      <c r="A88">
        <v>26081</v>
      </c>
      <c r="B88" t="s">
        <v>102</v>
      </c>
      <c r="C88" t="s">
        <v>67</v>
      </c>
      <c r="E88" t="s">
        <v>1164</v>
      </c>
      <c r="F88">
        <v>2</v>
      </c>
      <c r="G88">
        <v>1958</v>
      </c>
      <c r="H88">
        <v>690</v>
      </c>
      <c r="I88">
        <v>0</v>
      </c>
      <c r="J88">
        <v>0</v>
      </c>
      <c r="K88">
        <v>0</v>
      </c>
    </row>
    <row r="89" spans="1:11" x14ac:dyDescent="0.25">
      <c r="A89">
        <v>99505</v>
      </c>
      <c r="B89" t="s">
        <v>103</v>
      </c>
      <c r="C89" t="s">
        <v>46</v>
      </c>
      <c r="E89" t="s">
        <v>1116</v>
      </c>
      <c r="F89">
        <v>20</v>
      </c>
      <c r="G89">
        <v>1966</v>
      </c>
      <c r="H89">
        <v>153</v>
      </c>
      <c r="I89">
        <v>22.75</v>
      </c>
      <c r="J89">
        <v>1412.848</v>
      </c>
      <c r="K89">
        <v>487</v>
      </c>
    </row>
    <row r="90" spans="1:11" x14ac:dyDescent="0.25">
      <c r="A90">
        <v>22960</v>
      </c>
      <c r="B90" t="s">
        <v>104</v>
      </c>
      <c r="C90" t="s">
        <v>105</v>
      </c>
      <c r="E90" t="s">
        <v>680</v>
      </c>
      <c r="F90">
        <v>19</v>
      </c>
      <c r="G90">
        <v>1962</v>
      </c>
      <c r="H90">
        <v>650</v>
      </c>
      <c r="I90">
        <v>0.68799999999999994</v>
      </c>
      <c r="J90">
        <v>25.286000000000001</v>
      </c>
      <c r="K90">
        <v>0</v>
      </c>
    </row>
    <row r="91" spans="1:11" x14ac:dyDescent="0.25">
      <c r="A91">
        <v>10051</v>
      </c>
      <c r="B91" t="s">
        <v>106</v>
      </c>
      <c r="C91" t="s">
        <v>72</v>
      </c>
      <c r="E91" t="s">
        <v>107</v>
      </c>
      <c r="F91">
        <v>45</v>
      </c>
      <c r="G91">
        <v>1998</v>
      </c>
      <c r="H91">
        <v>35</v>
      </c>
      <c r="I91">
        <v>39.625</v>
      </c>
      <c r="J91">
        <v>2835.2249999999999</v>
      </c>
      <c r="K91">
        <v>1420</v>
      </c>
    </row>
    <row r="92" spans="1:11" x14ac:dyDescent="0.25">
      <c r="A92">
        <v>11017</v>
      </c>
      <c r="B92" t="s">
        <v>106</v>
      </c>
      <c r="C92" t="s">
        <v>46</v>
      </c>
      <c r="E92" t="s">
        <v>107</v>
      </c>
      <c r="F92">
        <v>45</v>
      </c>
      <c r="G92">
        <v>1947</v>
      </c>
      <c r="H92">
        <v>400</v>
      </c>
      <c r="I92">
        <v>2.641</v>
      </c>
      <c r="J92">
        <v>271.10399999999998</v>
      </c>
      <c r="K92">
        <v>147</v>
      </c>
    </row>
    <row r="93" spans="1:11" x14ac:dyDescent="0.25">
      <c r="A93">
        <v>12002</v>
      </c>
      <c r="B93" t="s">
        <v>106</v>
      </c>
      <c r="C93" t="s">
        <v>46</v>
      </c>
      <c r="E93" t="s">
        <v>107</v>
      </c>
      <c r="F93">
        <v>45</v>
      </c>
      <c r="G93">
        <v>1994</v>
      </c>
      <c r="H93">
        <v>152</v>
      </c>
      <c r="I93">
        <v>20.501000000000001</v>
      </c>
      <c r="J93">
        <v>1414.9480000000001</v>
      </c>
      <c r="K93">
        <v>586</v>
      </c>
    </row>
    <row r="94" spans="1:11" x14ac:dyDescent="0.25">
      <c r="A94">
        <v>16108</v>
      </c>
      <c r="B94" t="s">
        <v>1717</v>
      </c>
      <c r="C94" t="s">
        <v>1718</v>
      </c>
      <c r="E94" t="s">
        <v>1181</v>
      </c>
      <c r="F94">
        <v>5</v>
      </c>
      <c r="G94">
        <v>1984</v>
      </c>
      <c r="H94">
        <v>411</v>
      </c>
      <c r="I94">
        <v>2</v>
      </c>
      <c r="J94">
        <v>258.70400000000001</v>
      </c>
      <c r="K94">
        <v>163</v>
      </c>
    </row>
    <row r="95" spans="1:11" x14ac:dyDescent="0.25">
      <c r="A95">
        <v>20714</v>
      </c>
      <c r="B95" t="s">
        <v>108</v>
      </c>
      <c r="C95" t="s">
        <v>109</v>
      </c>
      <c r="D95" t="s">
        <v>1053</v>
      </c>
      <c r="E95" t="s">
        <v>1116</v>
      </c>
      <c r="F95">
        <v>20</v>
      </c>
      <c r="G95">
        <v>1950</v>
      </c>
      <c r="H95">
        <v>315</v>
      </c>
      <c r="I95">
        <v>8.157</v>
      </c>
      <c r="J95">
        <v>498.81400000000002</v>
      </c>
      <c r="K95">
        <v>155</v>
      </c>
    </row>
    <row r="96" spans="1:11" x14ac:dyDescent="0.25">
      <c r="A96">
        <v>15011</v>
      </c>
      <c r="B96" t="s">
        <v>110</v>
      </c>
      <c r="C96" t="s">
        <v>177</v>
      </c>
      <c r="E96" t="s">
        <v>1169</v>
      </c>
      <c r="F96">
        <v>76</v>
      </c>
      <c r="G96">
        <v>1965</v>
      </c>
      <c r="H96">
        <v>141</v>
      </c>
      <c r="I96">
        <v>21.126999999999999</v>
      </c>
      <c r="J96">
        <v>1544.171</v>
      </c>
      <c r="K96">
        <v>814</v>
      </c>
    </row>
    <row r="97" spans="1:11" x14ac:dyDescent="0.25">
      <c r="A97">
        <v>15010</v>
      </c>
      <c r="B97" t="s">
        <v>1719</v>
      </c>
      <c r="C97" t="s">
        <v>1517</v>
      </c>
      <c r="D97" t="s">
        <v>1053</v>
      </c>
      <c r="E97" t="s">
        <v>1169</v>
      </c>
      <c r="F97">
        <v>76</v>
      </c>
      <c r="G97">
        <v>1952</v>
      </c>
      <c r="H97">
        <v>176</v>
      </c>
      <c r="I97">
        <v>19.189</v>
      </c>
      <c r="J97">
        <v>1226.0640000000001</v>
      </c>
      <c r="K97">
        <v>593</v>
      </c>
    </row>
    <row r="98" spans="1:11" x14ac:dyDescent="0.25">
      <c r="A98">
        <v>16047</v>
      </c>
      <c r="B98" t="s">
        <v>1463</v>
      </c>
      <c r="C98" t="s">
        <v>306</v>
      </c>
      <c r="E98" t="s">
        <v>1443</v>
      </c>
      <c r="F98">
        <v>81</v>
      </c>
      <c r="G98">
        <v>1967</v>
      </c>
      <c r="H98">
        <v>218</v>
      </c>
      <c r="I98">
        <v>10.125999999999999</v>
      </c>
      <c r="J98">
        <v>925.59100000000001</v>
      </c>
      <c r="K98">
        <v>453</v>
      </c>
    </row>
    <row r="99" spans="1:11" x14ac:dyDescent="0.25">
      <c r="A99">
        <v>16048</v>
      </c>
      <c r="B99" t="s">
        <v>1463</v>
      </c>
      <c r="C99" t="s">
        <v>195</v>
      </c>
      <c r="E99" t="s">
        <v>1443</v>
      </c>
      <c r="F99">
        <v>81</v>
      </c>
      <c r="G99">
        <v>1991</v>
      </c>
      <c r="H99">
        <v>344</v>
      </c>
      <c r="I99">
        <v>3.3119999999999998</v>
      </c>
      <c r="J99">
        <v>419.27100000000002</v>
      </c>
      <c r="K99">
        <v>258</v>
      </c>
    </row>
    <row r="100" spans="1:11" x14ac:dyDescent="0.25">
      <c r="A100">
        <v>24207</v>
      </c>
      <c r="B100" t="s">
        <v>113</v>
      </c>
      <c r="C100" t="s">
        <v>16</v>
      </c>
      <c r="E100" t="s">
        <v>52</v>
      </c>
      <c r="F100">
        <v>16</v>
      </c>
      <c r="G100">
        <v>1994</v>
      </c>
      <c r="H100">
        <v>424</v>
      </c>
      <c r="I100">
        <v>1.75</v>
      </c>
      <c r="J100">
        <v>247.423</v>
      </c>
      <c r="K100">
        <v>154</v>
      </c>
    </row>
    <row r="101" spans="1:11" x14ac:dyDescent="0.25">
      <c r="A101">
        <v>16078</v>
      </c>
      <c r="B101" t="s">
        <v>1464</v>
      </c>
      <c r="C101" t="s">
        <v>204</v>
      </c>
      <c r="D101" t="s">
        <v>1053</v>
      </c>
      <c r="E101" t="s">
        <v>1441</v>
      </c>
      <c r="F101">
        <v>84</v>
      </c>
      <c r="G101">
        <v>1953</v>
      </c>
      <c r="H101">
        <v>691</v>
      </c>
      <c r="I101">
        <v>0</v>
      </c>
      <c r="J101">
        <v>0</v>
      </c>
      <c r="K101">
        <v>0</v>
      </c>
    </row>
    <row r="102" spans="1:11" x14ac:dyDescent="0.25">
      <c r="A102">
        <v>10022</v>
      </c>
      <c r="B102" t="s">
        <v>114</v>
      </c>
      <c r="C102" t="s">
        <v>46</v>
      </c>
      <c r="E102" t="s">
        <v>65</v>
      </c>
      <c r="F102">
        <v>67</v>
      </c>
      <c r="G102">
        <v>1961</v>
      </c>
      <c r="H102">
        <v>478</v>
      </c>
      <c r="I102">
        <v>5.3129999999999997</v>
      </c>
      <c r="J102">
        <v>165.24199999999999</v>
      </c>
      <c r="K102">
        <v>0</v>
      </c>
    </row>
    <row r="103" spans="1:11" x14ac:dyDescent="0.25">
      <c r="A103">
        <v>14088</v>
      </c>
      <c r="B103" t="s">
        <v>1465</v>
      </c>
      <c r="C103" t="s">
        <v>27</v>
      </c>
      <c r="D103" t="s">
        <v>1053</v>
      </c>
      <c r="E103" t="s">
        <v>1437</v>
      </c>
      <c r="F103">
        <v>79</v>
      </c>
      <c r="G103">
        <v>1984</v>
      </c>
      <c r="H103">
        <v>295</v>
      </c>
      <c r="I103">
        <v>6.657</v>
      </c>
      <c r="J103">
        <v>547.66</v>
      </c>
      <c r="K103">
        <v>239</v>
      </c>
    </row>
    <row r="104" spans="1:11" x14ac:dyDescent="0.25">
      <c r="A104">
        <v>16051</v>
      </c>
      <c r="B104" t="s">
        <v>1466</v>
      </c>
      <c r="C104" t="s">
        <v>12</v>
      </c>
      <c r="E104" t="s">
        <v>1453</v>
      </c>
      <c r="F104">
        <v>82</v>
      </c>
      <c r="G104">
        <v>1979</v>
      </c>
      <c r="H104">
        <v>341</v>
      </c>
      <c r="I104">
        <v>4.4690000000000003</v>
      </c>
      <c r="J104">
        <v>427.98099999999999</v>
      </c>
      <c r="K104">
        <v>230</v>
      </c>
    </row>
    <row r="105" spans="1:11" x14ac:dyDescent="0.25">
      <c r="A105">
        <v>12061</v>
      </c>
      <c r="B105" t="s">
        <v>1467</v>
      </c>
      <c r="C105" t="s">
        <v>18</v>
      </c>
      <c r="D105" t="s">
        <v>1053</v>
      </c>
      <c r="E105" t="s">
        <v>1134</v>
      </c>
      <c r="F105">
        <v>69</v>
      </c>
      <c r="G105">
        <v>1951</v>
      </c>
      <c r="H105">
        <v>585</v>
      </c>
      <c r="I105">
        <v>0.96899999999999997</v>
      </c>
      <c r="J105">
        <v>54.432000000000002</v>
      </c>
      <c r="K105">
        <v>18</v>
      </c>
    </row>
    <row r="106" spans="1:11" x14ac:dyDescent="0.25">
      <c r="A106">
        <v>16018</v>
      </c>
      <c r="B106" t="s">
        <v>1468</v>
      </c>
      <c r="C106" t="s">
        <v>72</v>
      </c>
      <c r="E106" t="s">
        <v>1469</v>
      </c>
      <c r="F106">
        <v>28</v>
      </c>
      <c r="G106">
        <v>1966</v>
      </c>
      <c r="H106">
        <v>429</v>
      </c>
      <c r="I106">
        <v>7.1260000000000003</v>
      </c>
      <c r="J106">
        <v>241.30099999999999</v>
      </c>
      <c r="K106">
        <v>0</v>
      </c>
    </row>
    <row r="107" spans="1:11" x14ac:dyDescent="0.25">
      <c r="A107">
        <v>11008</v>
      </c>
      <c r="B107" t="s">
        <v>115</v>
      </c>
      <c r="C107" t="s">
        <v>18</v>
      </c>
      <c r="D107" t="s">
        <v>1053</v>
      </c>
      <c r="E107" t="s">
        <v>1167</v>
      </c>
      <c r="F107">
        <v>70</v>
      </c>
      <c r="G107">
        <v>1933</v>
      </c>
      <c r="H107">
        <v>692</v>
      </c>
      <c r="I107">
        <v>0</v>
      </c>
      <c r="J107">
        <v>0</v>
      </c>
      <c r="K107">
        <v>0</v>
      </c>
    </row>
    <row r="108" spans="1:11" x14ac:dyDescent="0.25">
      <c r="A108">
        <v>16035</v>
      </c>
      <c r="B108" t="s">
        <v>1470</v>
      </c>
      <c r="C108" t="s">
        <v>1471</v>
      </c>
      <c r="E108" t="s">
        <v>1086</v>
      </c>
      <c r="F108">
        <v>22</v>
      </c>
      <c r="G108">
        <v>1970</v>
      </c>
      <c r="H108">
        <v>693</v>
      </c>
      <c r="I108">
        <v>0</v>
      </c>
      <c r="J108">
        <v>0</v>
      </c>
      <c r="K108">
        <v>0</v>
      </c>
    </row>
    <row r="109" spans="1:11" x14ac:dyDescent="0.25">
      <c r="A109">
        <v>99510</v>
      </c>
      <c r="B109" t="s">
        <v>116</v>
      </c>
      <c r="C109" t="s">
        <v>117</v>
      </c>
      <c r="E109" t="s">
        <v>1119</v>
      </c>
      <c r="F109">
        <v>54</v>
      </c>
      <c r="G109">
        <v>1951</v>
      </c>
      <c r="H109">
        <v>52</v>
      </c>
      <c r="I109">
        <v>38.5</v>
      </c>
      <c r="J109">
        <v>2527.8969999999999</v>
      </c>
      <c r="K109">
        <v>1144</v>
      </c>
    </row>
    <row r="110" spans="1:11" x14ac:dyDescent="0.25">
      <c r="A110">
        <v>99574</v>
      </c>
      <c r="B110" t="s">
        <v>119</v>
      </c>
      <c r="C110" t="s">
        <v>120</v>
      </c>
      <c r="D110" t="s">
        <v>1053</v>
      </c>
      <c r="E110" t="s">
        <v>1119</v>
      </c>
      <c r="F110">
        <v>54</v>
      </c>
      <c r="G110">
        <v>1949</v>
      </c>
      <c r="H110">
        <v>46</v>
      </c>
      <c r="I110">
        <v>39.5</v>
      </c>
      <c r="J110">
        <v>2674.4</v>
      </c>
      <c r="K110">
        <v>1339</v>
      </c>
    </row>
    <row r="111" spans="1:11" x14ac:dyDescent="0.25">
      <c r="A111">
        <v>11007</v>
      </c>
      <c r="B111" t="s">
        <v>121</v>
      </c>
      <c r="C111" t="s">
        <v>122</v>
      </c>
      <c r="D111" t="s">
        <v>1053</v>
      </c>
      <c r="E111" t="s">
        <v>1167</v>
      </c>
      <c r="F111">
        <v>70</v>
      </c>
      <c r="G111">
        <v>1942</v>
      </c>
      <c r="H111">
        <v>694</v>
      </c>
      <c r="I111">
        <v>0</v>
      </c>
      <c r="J111">
        <v>0</v>
      </c>
      <c r="K111">
        <v>0</v>
      </c>
    </row>
    <row r="112" spans="1:11" x14ac:dyDescent="0.25">
      <c r="A112">
        <v>13027</v>
      </c>
      <c r="B112" t="s">
        <v>1177</v>
      </c>
      <c r="C112" t="s">
        <v>101</v>
      </c>
      <c r="D112" t="s">
        <v>1053</v>
      </c>
      <c r="E112" t="s">
        <v>1169</v>
      </c>
      <c r="F112">
        <v>76</v>
      </c>
      <c r="G112">
        <v>1977</v>
      </c>
      <c r="H112">
        <v>128</v>
      </c>
      <c r="I112">
        <v>19.533000000000001</v>
      </c>
      <c r="J112">
        <v>1649.8240000000001</v>
      </c>
      <c r="K112">
        <v>837</v>
      </c>
    </row>
    <row r="113" spans="1:11" x14ac:dyDescent="0.25">
      <c r="A113">
        <v>96100</v>
      </c>
      <c r="B113" t="s">
        <v>123</v>
      </c>
      <c r="C113" t="s">
        <v>73</v>
      </c>
      <c r="E113" t="s">
        <v>1172</v>
      </c>
      <c r="F113">
        <v>24</v>
      </c>
      <c r="G113">
        <v>1968</v>
      </c>
      <c r="H113">
        <v>695</v>
      </c>
      <c r="I113">
        <v>0</v>
      </c>
      <c r="J113">
        <v>0</v>
      </c>
      <c r="K113">
        <v>0</v>
      </c>
    </row>
    <row r="114" spans="1:11" x14ac:dyDescent="0.25">
      <c r="A114">
        <v>27082</v>
      </c>
      <c r="B114" t="s">
        <v>124</v>
      </c>
      <c r="C114" t="s">
        <v>125</v>
      </c>
      <c r="E114" t="s">
        <v>1164</v>
      </c>
      <c r="F114">
        <v>2</v>
      </c>
      <c r="G114">
        <v>1951</v>
      </c>
      <c r="H114">
        <v>616</v>
      </c>
      <c r="I114">
        <v>0.5</v>
      </c>
      <c r="J114">
        <v>37.969000000000001</v>
      </c>
      <c r="K114">
        <v>15</v>
      </c>
    </row>
    <row r="115" spans="1:11" x14ac:dyDescent="0.25">
      <c r="A115">
        <v>15087</v>
      </c>
      <c r="B115" t="s">
        <v>1472</v>
      </c>
      <c r="C115" t="s">
        <v>474</v>
      </c>
      <c r="E115" t="s">
        <v>1176</v>
      </c>
      <c r="F115">
        <v>42</v>
      </c>
      <c r="G115">
        <v>1942</v>
      </c>
      <c r="H115">
        <v>267</v>
      </c>
      <c r="I115">
        <v>11.83</v>
      </c>
      <c r="J115">
        <v>640.60599999999999</v>
      </c>
      <c r="K115">
        <v>199</v>
      </c>
    </row>
    <row r="116" spans="1:11" x14ac:dyDescent="0.25">
      <c r="A116">
        <v>16037</v>
      </c>
      <c r="B116" t="s">
        <v>1473</v>
      </c>
      <c r="C116" t="s">
        <v>1474</v>
      </c>
      <c r="D116" t="s">
        <v>1053</v>
      </c>
      <c r="E116" t="s">
        <v>1167</v>
      </c>
      <c r="F116">
        <v>70</v>
      </c>
      <c r="G116">
        <v>1936</v>
      </c>
      <c r="H116">
        <v>641</v>
      </c>
      <c r="I116">
        <v>0.68799999999999994</v>
      </c>
      <c r="J116">
        <v>30.042999999999999</v>
      </c>
      <c r="K116">
        <v>0</v>
      </c>
    </row>
    <row r="117" spans="1:11" x14ac:dyDescent="0.25">
      <c r="A117">
        <v>28032</v>
      </c>
      <c r="B117" t="s">
        <v>126</v>
      </c>
      <c r="C117" t="s">
        <v>24</v>
      </c>
      <c r="E117" t="s">
        <v>127</v>
      </c>
      <c r="F117">
        <v>62</v>
      </c>
      <c r="G117">
        <v>1967</v>
      </c>
      <c r="H117">
        <v>579</v>
      </c>
      <c r="I117">
        <v>1.875</v>
      </c>
      <c r="J117">
        <v>54.829000000000001</v>
      </c>
      <c r="K117">
        <v>0</v>
      </c>
    </row>
    <row r="118" spans="1:11" x14ac:dyDescent="0.25">
      <c r="A118">
        <v>28031</v>
      </c>
      <c r="B118" t="s">
        <v>128</v>
      </c>
      <c r="C118" t="s">
        <v>129</v>
      </c>
      <c r="D118" t="s">
        <v>1053</v>
      </c>
      <c r="E118" t="s">
        <v>127</v>
      </c>
      <c r="F118">
        <v>62</v>
      </c>
      <c r="G118">
        <v>1970</v>
      </c>
      <c r="H118">
        <v>696</v>
      </c>
      <c r="I118">
        <v>0</v>
      </c>
      <c r="J118">
        <v>0</v>
      </c>
      <c r="K118">
        <v>0</v>
      </c>
    </row>
    <row r="119" spans="1:11" x14ac:dyDescent="0.25">
      <c r="A119">
        <v>16022</v>
      </c>
      <c r="B119" t="s">
        <v>1475</v>
      </c>
      <c r="C119" t="s">
        <v>32</v>
      </c>
      <c r="E119" t="s">
        <v>107</v>
      </c>
      <c r="F119">
        <v>45</v>
      </c>
      <c r="G119">
        <v>1948</v>
      </c>
      <c r="H119">
        <v>697</v>
      </c>
      <c r="I119">
        <v>0</v>
      </c>
      <c r="J119">
        <v>0</v>
      </c>
      <c r="K119">
        <v>0</v>
      </c>
    </row>
    <row r="120" spans="1:11" x14ac:dyDescent="0.25">
      <c r="A120">
        <v>22953</v>
      </c>
      <c r="B120" t="s">
        <v>130</v>
      </c>
      <c r="C120" t="s">
        <v>111</v>
      </c>
      <c r="E120" t="s">
        <v>1101</v>
      </c>
      <c r="F120">
        <v>14</v>
      </c>
      <c r="G120">
        <v>1979</v>
      </c>
      <c r="H120">
        <v>698</v>
      </c>
      <c r="I120">
        <v>0</v>
      </c>
      <c r="J120">
        <v>0</v>
      </c>
      <c r="K120">
        <v>0</v>
      </c>
    </row>
    <row r="121" spans="1:11" x14ac:dyDescent="0.25">
      <c r="A121">
        <v>99496</v>
      </c>
      <c r="B121" t="s">
        <v>130</v>
      </c>
      <c r="C121" t="s">
        <v>39</v>
      </c>
      <c r="E121" t="s">
        <v>1101</v>
      </c>
      <c r="F121">
        <v>14</v>
      </c>
      <c r="G121">
        <v>1975</v>
      </c>
      <c r="H121">
        <v>519</v>
      </c>
      <c r="I121">
        <v>1.6879999999999999</v>
      </c>
      <c r="J121">
        <v>107.18</v>
      </c>
      <c r="K121">
        <v>37</v>
      </c>
    </row>
    <row r="122" spans="1:11" x14ac:dyDescent="0.25">
      <c r="A122">
        <v>24272</v>
      </c>
      <c r="B122" t="s">
        <v>130</v>
      </c>
      <c r="C122" t="s">
        <v>33</v>
      </c>
      <c r="E122" t="s">
        <v>1101</v>
      </c>
      <c r="F122">
        <v>14</v>
      </c>
      <c r="G122">
        <v>1953</v>
      </c>
      <c r="H122">
        <v>206</v>
      </c>
      <c r="I122">
        <v>18.155999999999999</v>
      </c>
      <c r="J122">
        <v>990.54700000000003</v>
      </c>
      <c r="K122">
        <v>284</v>
      </c>
    </row>
    <row r="123" spans="1:11" x14ac:dyDescent="0.25">
      <c r="A123">
        <v>10133</v>
      </c>
      <c r="B123" t="s">
        <v>131</v>
      </c>
      <c r="C123" t="s">
        <v>132</v>
      </c>
      <c r="E123" t="s">
        <v>1134</v>
      </c>
      <c r="F123">
        <v>69</v>
      </c>
      <c r="G123">
        <v>1968</v>
      </c>
      <c r="H123">
        <v>699</v>
      </c>
      <c r="I123">
        <v>0</v>
      </c>
      <c r="J123">
        <v>0</v>
      </c>
      <c r="K123">
        <v>0</v>
      </c>
    </row>
    <row r="124" spans="1:11" x14ac:dyDescent="0.25">
      <c r="A124">
        <v>26033</v>
      </c>
      <c r="B124" t="s">
        <v>135</v>
      </c>
      <c r="C124" t="s">
        <v>80</v>
      </c>
      <c r="E124" t="s">
        <v>1122</v>
      </c>
      <c r="F124">
        <v>63</v>
      </c>
      <c r="G124">
        <v>1963</v>
      </c>
      <c r="H124">
        <v>203</v>
      </c>
      <c r="I124">
        <v>18.157</v>
      </c>
      <c r="J124">
        <v>1006.385</v>
      </c>
      <c r="K124">
        <v>319</v>
      </c>
    </row>
    <row r="125" spans="1:11" x14ac:dyDescent="0.25">
      <c r="A125">
        <v>29024</v>
      </c>
      <c r="B125" t="s">
        <v>136</v>
      </c>
      <c r="C125" t="s">
        <v>137</v>
      </c>
      <c r="D125" t="s">
        <v>1053</v>
      </c>
      <c r="E125" t="s">
        <v>1122</v>
      </c>
      <c r="F125">
        <v>63</v>
      </c>
      <c r="G125">
        <v>1975</v>
      </c>
      <c r="H125">
        <v>312</v>
      </c>
      <c r="I125">
        <v>8.875</v>
      </c>
      <c r="J125">
        <v>504.149</v>
      </c>
      <c r="K125">
        <v>173</v>
      </c>
    </row>
    <row r="126" spans="1:11" x14ac:dyDescent="0.25">
      <c r="A126">
        <v>11004</v>
      </c>
      <c r="B126" t="s">
        <v>136</v>
      </c>
      <c r="C126" t="s">
        <v>138</v>
      </c>
      <c r="D126" t="s">
        <v>1053</v>
      </c>
      <c r="E126" t="s">
        <v>1122</v>
      </c>
      <c r="F126">
        <v>63</v>
      </c>
      <c r="G126">
        <v>1997</v>
      </c>
      <c r="H126">
        <v>301</v>
      </c>
      <c r="I126">
        <v>10.375999999999999</v>
      </c>
      <c r="J126">
        <v>533.27099999999996</v>
      </c>
      <c r="K126">
        <v>148</v>
      </c>
    </row>
    <row r="127" spans="1:11" x14ac:dyDescent="0.25">
      <c r="A127">
        <v>96099</v>
      </c>
      <c r="B127" t="s">
        <v>140</v>
      </c>
      <c r="C127" t="s">
        <v>109</v>
      </c>
      <c r="D127" t="s">
        <v>1053</v>
      </c>
      <c r="E127" t="s">
        <v>1172</v>
      </c>
      <c r="F127">
        <v>24</v>
      </c>
      <c r="G127">
        <v>1953</v>
      </c>
      <c r="H127">
        <v>700</v>
      </c>
      <c r="I127">
        <v>0</v>
      </c>
      <c r="J127">
        <v>0</v>
      </c>
      <c r="K127">
        <v>0</v>
      </c>
    </row>
    <row r="128" spans="1:11" x14ac:dyDescent="0.25">
      <c r="A128">
        <v>15034</v>
      </c>
      <c r="B128" t="s">
        <v>1476</v>
      </c>
      <c r="C128" t="s">
        <v>1477</v>
      </c>
      <c r="D128" t="s">
        <v>1053</v>
      </c>
      <c r="E128" t="s">
        <v>58</v>
      </c>
      <c r="F128">
        <v>73</v>
      </c>
      <c r="G128">
        <v>1950</v>
      </c>
      <c r="H128">
        <v>226</v>
      </c>
      <c r="I128">
        <v>13.188000000000001</v>
      </c>
      <c r="J128">
        <v>851.25599999999997</v>
      </c>
      <c r="K128">
        <v>305</v>
      </c>
    </row>
    <row r="129" spans="1:11" x14ac:dyDescent="0.25">
      <c r="A129">
        <v>25042</v>
      </c>
      <c r="B129" t="s">
        <v>141</v>
      </c>
      <c r="C129" t="s">
        <v>67</v>
      </c>
      <c r="E129" t="s">
        <v>1136</v>
      </c>
      <c r="F129">
        <v>13</v>
      </c>
      <c r="G129">
        <v>1983</v>
      </c>
      <c r="H129">
        <v>591</v>
      </c>
      <c r="I129">
        <v>2</v>
      </c>
      <c r="J129">
        <v>52.576000000000001</v>
      </c>
      <c r="K129">
        <v>0</v>
      </c>
    </row>
    <row r="130" spans="1:11" x14ac:dyDescent="0.25">
      <c r="A130">
        <v>99529</v>
      </c>
      <c r="B130" t="s">
        <v>141</v>
      </c>
      <c r="C130" t="s">
        <v>15</v>
      </c>
      <c r="E130" t="s">
        <v>31</v>
      </c>
      <c r="F130">
        <v>29</v>
      </c>
      <c r="G130">
        <v>1967</v>
      </c>
      <c r="H130">
        <v>701</v>
      </c>
      <c r="I130">
        <v>0</v>
      </c>
      <c r="J130">
        <v>0</v>
      </c>
      <c r="K130">
        <v>0</v>
      </c>
    </row>
    <row r="131" spans="1:11" x14ac:dyDescent="0.25">
      <c r="A131">
        <v>21760</v>
      </c>
      <c r="B131" t="s">
        <v>142</v>
      </c>
      <c r="C131" t="s">
        <v>143</v>
      </c>
      <c r="D131" t="s">
        <v>1053</v>
      </c>
      <c r="E131" t="s">
        <v>31</v>
      </c>
      <c r="F131">
        <v>29</v>
      </c>
      <c r="G131">
        <v>1967</v>
      </c>
      <c r="H131">
        <v>190</v>
      </c>
      <c r="I131">
        <v>15.22</v>
      </c>
      <c r="J131">
        <v>1133.4090000000001</v>
      </c>
      <c r="K131">
        <v>511</v>
      </c>
    </row>
    <row r="132" spans="1:11" x14ac:dyDescent="0.25">
      <c r="A132">
        <v>28037</v>
      </c>
      <c r="B132" t="s">
        <v>142</v>
      </c>
      <c r="C132" t="s">
        <v>144</v>
      </c>
      <c r="D132" t="s">
        <v>1053</v>
      </c>
      <c r="E132" t="s">
        <v>680</v>
      </c>
      <c r="F132">
        <v>19</v>
      </c>
      <c r="G132">
        <v>1953</v>
      </c>
      <c r="H132">
        <v>487</v>
      </c>
      <c r="I132">
        <v>2.3450000000000002</v>
      </c>
      <c r="J132">
        <v>151.78</v>
      </c>
      <c r="K132">
        <v>54</v>
      </c>
    </row>
    <row r="133" spans="1:11" x14ac:dyDescent="0.25">
      <c r="A133">
        <v>27085</v>
      </c>
      <c r="B133" t="s">
        <v>145</v>
      </c>
      <c r="C133" t="s">
        <v>24</v>
      </c>
      <c r="E133" t="s">
        <v>1172</v>
      </c>
      <c r="F133">
        <v>24</v>
      </c>
      <c r="G133">
        <v>1985</v>
      </c>
      <c r="H133">
        <v>566</v>
      </c>
      <c r="I133">
        <v>1.375</v>
      </c>
      <c r="J133">
        <v>60.853999999999999</v>
      </c>
      <c r="K133">
        <v>0</v>
      </c>
    </row>
    <row r="134" spans="1:11" x14ac:dyDescent="0.25">
      <c r="A134">
        <v>15083</v>
      </c>
      <c r="B134" t="s">
        <v>1478</v>
      </c>
      <c r="C134" t="s">
        <v>32</v>
      </c>
      <c r="E134" t="s">
        <v>1164</v>
      </c>
      <c r="F134">
        <v>2</v>
      </c>
      <c r="G134">
        <v>1993</v>
      </c>
      <c r="H134">
        <v>361</v>
      </c>
      <c r="I134">
        <v>6.0309999999999997</v>
      </c>
      <c r="J134">
        <v>384.851</v>
      </c>
      <c r="K134">
        <v>177</v>
      </c>
    </row>
    <row r="135" spans="1:11" x14ac:dyDescent="0.25">
      <c r="A135">
        <v>10130</v>
      </c>
      <c r="B135" t="s">
        <v>1479</v>
      </c>
      <c r="C135" t="s">
        <v>67</v>
      </c>
      <c r="E135" t="s">
        <v>1480</v>
      </c>
      <c r="F135">
        <v>65</v>
      </c>
      <c r="G135">
        <v>1948</v>
      </c>
      <c r="H135">
        <v>702</v>
      </c>
      <c r="I135">
        <v>0</v>
      </c>
      <c r="J135">
        <v>0</v>
      </c>
      <c r="K135">
        <v>0</v>
      </c>
    </row>
    <row r="136" spans="1:11" x14ac:dyDescent="0.25">
      <c r="A136">
        <v>21894</v>
      </c>
      <c r="B136" t="s">
        <v>146</v>
      </c>
      <c r="C136" t="s">
        <v>147</v>
      </c>
      <c r="E136" t="s">
        <v>706</v>
      </c>
      <c r="F136">
        <v>39</v>
      </c>
      <c r="G136">
        <v>1948</v>
      </c>
      <c r="H136">
        <v>703</v>
      </c>
      <c r="I136">
        <v>0</v>
      </c>
      <c r="J136">
        <v>0</v>
      </c>
      <c r="K136">
        <v>0</v>
      </c>
    </row>
    <row r="137" spans="1:11" x14ac:dyDescent="0.25">
      <c r="A137">
        <v>21895</v>
      </c>
      <c r="B137" t="s">
        <v>148</v>
      </c>
      <c r="C137" t="s">
        <v>149</v>
      </c>
      <c r="D137" t="s">
        <v>1053</v>
      </c>
      <c r="E137" t="s">
        <v>706</v>
      </c>
      <c r="F137">
        <v>39</v>
      </c>
      <c r="G137">
        <v>1948</v>
      </c>
      <c r="H137">
        <v>704</v>
      </c>
      <c r="I137">
        <v>0</v>
      </c>
      <c r="J137">
        <v>0</v>
      </c>
      <c r="K137">
        <v>0</v>
      </c>
    </row>
    <row r="138" spans="1:11" x14ac:dyDescent="0.25">
      <c r="A138">
        <v>28033</v>
      </c>
      <c r="B138" t="s">
        <v>151</v>
      </c>
      <c r="C138" t="s">
        <v>39</v>
      </c>
      <c r="E138" t="s">
        <v>127</v>
      </c>
      <c r="F138">
        <v>62</v>
      </c>
      <c r="G138">
        <v>1994</v>
      </c>
      <c r="H138">
        <v>705</v>
      </c>
      <c r="I138">
        <v>0</v>
      </c>
      <c r="J138">
        <v>0</v>
      </c>
      <c r="K138">
        <v>0</v>
      </c>
    </row>
    <row r="139" spans="1:11" x14ac:dyDescent="0.25">
      <c r="A139">
        <v>96196</v>
      </c>
      <c r="B139" t="s">
        <v>152</v>
      </c>
      <c r="C139" t="s">
        <v>153</v>
      </c>
      <c r="E139" t="s">
        <v>1136</v>
      </c>
      <c r="F139">
        <v>13</v>
      </c>
      <c r="G139">
        <v>1962</v>
      </c>
      <c r="H139">
        <v>541</v>
      </c>
      <c r="I139">
        <v>3.1880000000000002</v>
      </c>
      <c r="J139">
        <v>82.8</v>
      </c>
      <c r="K139">
        <v>0</v>
      </c>
    </row>
    <row r="140" spans="1:11" x14ac:dyDescent="0.25">
      <c r="A140">
        <v>21746</v>
      </c>
      <c r="B140" t="s">
        <v>154</v>
      </c>
      <c r="C140" t="s">
        <v>155</v>
      </c>
      <c r="D140" t="s">
        <v>1053</v>
      </c>
      <c r="E140" t="s">
        <v>1136</v>
      </c>
      <c r="F140">
        <v>13</v>
      </c>
      <c r="G140">
        <v>1990</v>
      </c>
      <c r="H140">
        <v>658</v>
      </c>
      <c r="I140">
        <v>0.65600000000000003</v>
      </c>
      <c r="J140">
        <v>17.251999999999999</v>
      </c>
      <c r="K140">
        <v>0</v>
      </c>
    </row>
    <row r="141" spans="1:11" x14ac:dyDescent="0.25">
      <c r="A141">
        <v>96190</v>
      </c>
      <c r="B141" t="s">
        <v>154</v>
      </c>
      <c r="C141" t="s">
        <v>156</v>
      </c>
      <c r="D141" t="s">
        <v>1053</v>
      </c>
      <c r="E141" t="s">
        <v>1136</v>
      </c>
      <c r="F141">
        <v>13</v>
      </c>
      <c r="G141">
        <v>1965</v>
      </c>
      <c r="H141">
        <v>547</v>
      </c>
      <c r="I141">
        <v>2.6880000000000002</v>
      </c>
      <c r="J141">
        <v>78.406000000000006</v>
      </c>
      <c r="K141">
        <v>0</v>
      </c>
    </row>
    <row r="142" spans="1:11" x14ac:dyDescent="0.25">
      <c r="A142">
        <v>12020</v>
      </c>
      <c r="B142" t="s">
        <v>157</v>
      </c>
      <c r="C142" t="s">
        <v>54</v>
      </c>
      <c r="E142" t="s">
        <v>1116</v>
      </c>
      <c r="F142">
        <v>20</v>
      </c>
      <c r="G142">
        <v>1962</v>
      </c>
      <c r="H142">
        <v>29</v>
      </c>
      <c r="I142">
        <v>48.75</v>
      </c>
      <c r="J142">
        <v>3054.08</v>
      </c>
      <c r="K142">
        <v>1293</v>
      </c>
    </row>
    <row r="143" spans="1:11" x14ac:dyDescent="0.25">
      <c r="A143">
        <v>13044</v>
      </c>
      <c r="B143" t="s">
        <v>1270</v>
      </c>
      <c r="C143" t="s">
        <v>20</v>
      </c>
      <c r="D143" t="s">
        <v>1053</v>
      </c>
      <c r="E143" t="s">
        <v>1116</v>
      </c>
      <c r="F143">
        <v>20</v>
      </c>
      <c r="G143">
        <v>1962</v>
      </c>
      <c r="H143">
        <v>115</v>
      </c>
      <c r="I143">
        <v>25.094000000000001</v>
      </c>
      <c r="J143">
        <v>1788.008</v>
      </c>
      <c r="K143">
        <v>893</v>
      </c>
    </row>
    <row r="144" spans="1:11" x14ac:dyDescent="0.25">
      <c r="A144">
        <v>11046</v>
      </c>
      <c r="B144" t="s">
        <v>158</v>
      </c>
      <c r="C144" t="s">
        <v>111</v>
      </c>
      <c r="E144" t="s">
        <v>1101</v>
      </c>
      <c r="F144">
        <v>14</v>
      </c>
      <c r="G144">
        <v>1985</v>
      </c>
      <c r="H144">
        <v>37</v>
      </c>
      <c r="I144">
        <v>39</v>
      </c>
      <c r="J144">
        <v>2809.8009999999999</v>
      </c>
      <c r="K144">
        <v>1347</v>
      </c>
    </row>
    <row r="145" spans="1:11" x14ac:dyDescent="0.25">
      <c r="A145">
        <v>29051</v>
      </c>
      <c r="B145" t="s">
        <v>159</v>
      </c>
      <c r="C145" t="s">
        <v>24</v>
      </c>
      <c r="E145" t="s">
        <v>1142</v>
      </c>
      <c r="F145">
        <v>64</v>
      </c>
      <c r="G145">
        <v>1982</v>
      </c>
      <c r="H145">
        <v>480</v>
      </c>
      <c r="I145">
        <v>2.1259999999999999</v>
      </c>
      <c r="J145">
        <v>164.10599999999999</v>
      </c>
      <c r="K145">
        <v>66</v>
      </c>
    </row>
    <row r="146" spans="1:11" x14ac:dyDescent="0.25">
      <c r="A146">
        <v>29060</v>
      </c>
      <c r="B146" t="s">
        <v>159</v>
      </c>
      <c r="C146" t="s">
        <v>1481</v>
      </c>
      <c r="E146" t="s">
        <v>1142</v>
      </c>
      <c r="F146">
        <v>64</v>
      </c>
      <c r="G146">
        <v>1981</v>
      </c>
      <c r="H146">
        <v>440</v>
      </c>
      <c r="I146">
        <v>6.282</v>
      </c>
      <c r="J146">
        <v>228.53299999999999</v>
      </c>
      <c r="K146">
        <v>0</v>
      </c>
    </row>
    <row r="147" spans="1:11" x14ac:dyDescent="0.25">
      <c r="A147">
        <v>13062</v>
      </c>
      <c r="B147" t="s">
        <v>1178</v>
      </c>
      <c r="C147" t="s">
        <v>474</v>
      </c>
      <c r="E147" t="s">
        <v>1171</v>
      </c>
      <c r="F147">
        <v>74</v>
      </c>
      <c r="G147">
        <v>1951</v>
      </c>
      <c r="H147">
        <v>258</v>
      </c>
      <c r="I147">
        <v>13.564</v>
      </c>
      <c r="J147">
        <v>673.899</v>
      </c>
      <c r="K147">
        <v>166</v>
      </c>
    </row>
    <row r="148" spans="1:11" x14ac:dyDescent="0.25">
      <c r="A148">
        <v>12068</v>
      </c>
      <c r="B148" t="s">
        <v>1178</v>
      </c>
      <c r="C148" t="s">
        <v>54</v>
      </c>
      <c r="E148" t="s">
        <v>1171</v>
      </c>
      <c r="F148">
        <v>74</v>
      </c>
      <c r="G148">
        <v>1974</v>
      </c>
      <c r="H148">
        <v>257</v>
      </c>
      <c r="I148">
        <v>13.564</v>
      </c>
      <c r="J148">
        <v>673.899</v>
      </c>
      <c r="K148">
        <v>166</v>
      </c>
    </row>
    <row r="149" spans="1:11" x14ac:dyDescent="0.25">
      <c r="A149">
        <v>16034</v>
      </c>
      <c r="B149" t="s">
        <v>1482</v>
      </c>
      <c r="C149" t="s">
        <v>54</v>
      </c>
      <c r="E149" t="s">
        <v>1086</v>
      </c>
      <c r="F149">
        <v>22</v>
      </c>
      <c r="G149">
        <v>1970</v>
      </c>
      <c r="H149">
        <v>706</v>
      </c>
      <c r="I149">
        <v>0</v>
      </c>
      <c r="J149">
        <v>0</v>
      </c>
      <c r="K149">
        <v>0</v>
      </c>
    </row>
    <row r="150" spans="1:11" x14ac:dyDescent="0.25">
      <c r="A150">
        <v>23131</v>
      </c>
      <c r="B150" t="s">
        <v>161</v>
      </c>
      <c r="C150" t="s">
        <v>67</v>
      </c>
      <c r="E150" t="s">
        <v>1094</v>
      </c>
      <c r="F150">
        <v>43</v>
      </c>
      <c r="G150">
        <v>1954</v>
      </c>
      <c r="H150">
        <v>55</v>
      </c>
      <c r="I150">
        <v>27.25</v>
      </c>
      <c r="J150">
        <v>2471.0149999999999</v>
      </c>
      <c r="K150">
        <v>1236</v>
      </c>
    </row>
    <row r="151" spans="1:11" x14ac:dyDescent="0.25">
      <c r="A151">
        <v>11010</v>
      </c>
      <c r="B151" t="s">
        <v>162</v>
      </c>
      <c r="C151" t="s">
        <v>46</v>
      </c>
      <c r="E151" t="s">
        <v>1125</v>
      </c>
      <c r="F151">
        <v>44</v>
      </c>
      <c r="G151">
        <v>1992</v>
      </c>
      <c r="H151">
        <v>127</v>
      </c>
      <c r="I151">
        <v>19.032</v>
      </c>
      <c r="J151">
        <v>1662.816</v>
      </c>
      <c r="K151">
        <v>885</v>
      </c>
    </row>
    <row r="152" spans="1:11" x14ac:dyDescent="0.25">
      <c r="A152">
        <v>11009</v>
      </c>
      <c r="B152" t="s">
        <v>162</v>
      </c>
      <c r="C152" t="s">
        <v>16</v>
      </c>
      <c r="E152" t="s">
        <v>1125</v>
      </c>
      <c r="F152">
        <v>44</v>
      </c>
      <c r="G152">
        <v>1959</v>
      </c>
      <c r="H152">
        <v>117</v>
      </c>
      <c r="I152">
        <v>28.875</v>
      </c>
      <c r="J152">
        <v>1771.6310000000001</v>
      </c>
      <c r="K152">
        <v>817</v>
      </c>
    </row>
    <row r="153" spans="1:11" x14ac:dyDescent="0.25">
      <c r="A153">
        <v>22017</v>
      </c>
      <c r="B153" t="s">
        <v>163</v>
      </c>
      <c r="C153" t="s">
        <v>164</v>
      </c>
      <c r="E153" t="s">
        <v>678</v>
      </c>
      <c r="F153">
        <v>17</v>
      </c>
      <c r="G153">
        <v>1970</v>
      </c>
      <c r="H153">
        <v>114</v>
      </c>
      <c r="I153">
        <v>17.937999999999999</v>
      </c>
      <c r="J153">
        <v>1793.6890000000001</v>
      </c>
      <c r="K153">
        <v>890</v>
      </c>
    </row>
    <row r="154" spans="1:11" x14ac:dyDescent="0.25">
      <c r="A154">
        <v>12001</v>
      </c>
      <c r="B154" t="s">
        <v>163</v>
      </c>
      <c r="C154" t="s">
        <v>165</v>
      </c>
      <c r="D154" t="s">
        <v>1048</v>
      </c>
      <c r="E154" t="s">
        <v>678</v>
      </c>
      <c r="F154">
        <v>17</v>
      </c>
      <c r="G154">
        <v>2003</v>
      </c>
      <c r="H154">
        <v>518</v>
      </c>
      <c r="I154">
        <v>1.75</v>
      </c>
      <c r="J154">
        <v>109.095</v>
      </c>
      <c r="K154">
        <v>31</v>
      </c>
    </row>
    <row r="155" spans="1:11" x14ac:dyDescent="0.25">
      <c r="A155">
        <v>13037</v>
      </c>
      <c r="B155" t="s">
        <v>1179</v>
      </c>
      <c r="C155" t="s">
        <v>16</v>
      </c>
      <c r="E155" t="s">
        <v>1103</v>
      </c>
      <c r="F155">
        <v>48</v>
      </c>
      <c r="G155">
        <v>1964</v>
      </c>
      <c r="H155">
        <v>463</v>
      </c>
      <c r="I155">
        <v>1.61</v>
      </c>
      <c r="J155">
        <v>192.90600000000001</v>
      </c>
      <c r="K155">
        <v>117</v>
      </c>
    </row>
    <row r="156" spans="1:11" x14ac:dyDescent="0.25">
      <c r="A156">
        <v>21845</v>
      </c>
      <c r="B156" t="s">
        <v>1720</v>
      </c>
      <c r="C156" t="s">
        <v>374</v>
      </c>
      <c r="E156" t="s">
        <v>1162</v>
      </c>
      <c r="F156">
        <v>51</v>
      </c>
      <c r="G156">
        <v>1958</v>
      </c>
      <c r="H156">
        <v>707</v>
      </c>
      <c r="I156">
        <v>0</v>
      </c>
      <c r="J156">
        <v>0</v>
      </c>
      <c r="K156">
        <v>0</v>
      </c>
    </row>
    <row r="157" spans="1:11" x14ac:dyDescent="0.25">
      <c r="A157">
        <v>16070</v>
      </c>
      <c r="B157" t="s">
        <v>1483</v>
      </c>
      <c r="C157" t="s">
        <v>18</v>
      </c>
      <c r="D157" t="s">
        <v>1053</v>
      </c>
      <c r="E157" t="s">
        <v>1441</v>
      </c>
      <c r="F157">
        <v>84</v>
      </c>
      <c r="G157">
        <v>1935</v>
      </c>
      <c r="H157">
        <v>708</v>
      </c>
      <c r="I157">
        <v>0</v>
      </c>
      <c r="J157">
        <v>0</v>
      </c>
      <c r="K157">
        <v>0</v>
      </c>
    </row>
    <row r="158" spans="1:11" x14ac:dyDescent="0.25">
      <c r="A158">
        <v>13073</v>
      </c>
      <c r="B158" t="s">
        <v>1484</v>
      </c>
      <c r="C158" t="s">
        <v>12</v>
      </c>
      <c r="E158" t="s">
        <v>1134</v>
      </c>
      <c r="F158">
        <v>69</v>
      </c>
      <c r="G158">
        <v>1990</v>
      </c>
      <c r="H158">
        <v>709</v>
      </c>
      <c r="I158">
        <v>0</v>
      </c>
      <c r="J158">
        <v>0</v>
      </c>
      <c r="K158">
        <v>0</v>
      </c>
    </row>
    <row r="159" spans="1:11" x14ac:dyDescent="0.25">
      <c r="A159">
        <v>16071</v>
      </c>
      <c r="B159" t="s">
        <v>1485</v>
      </c>
      <c r="C159" t="s">
        <v>143</v>
      </c>
      <c r="D159" t="s">
        <v>1053</v>
      </c>
      <c r="E159" t="s">
        <v>1441</v>
      </c>
      <c r="F159">
        <v>84</v>
      </c>
      <c r="G159">
        <v>1947</v>
      </c>
      <c r="H159">
        <v>710</v>
      </c>
      <c r="I159">
        <v>0</v>
      </c>
      <c r="J159">
        <v>0</v>
      </c>
      <c r="K159">
        <v>0</v>
      </c>
    </row>
    <row r="160" spans="1:11" x14ac:dyDescent="0.25">
      <c r="A160">
        <v>12086</v>
      </c>
      <c r="B160" t="s">
        <v>1180</v>
      </c>
      <c r="C160" t="s">
        <v>46</v>
      </c>
      <c r="E160" t="s">
        <v>1142</v>
      </c>
      <c r="F160">
        <v>64</v>
      </c>
      <c r="G160">
        <v>1976</v>
      </c>
      <c r="H160">
        <v>64</v>
      </c>
      <c r="I160">
        <v>28.625</v>
      </c>
      <c r="J160">
        <v>2352.3490000000002</v>
      </c>
      <c r="K160">
        <v>1291</v>
      </c>
    </row>
    <row r="161" spans="1:11" x14ac:dyDescent="0.25">
      <c r="A161">
        <v>16120</v>
      </c>
      <c r="B161" t="s">
        <v>1180</v>
      </c>
      <c r="C161" t="s">
        <v>133</v>
      </c>
      <c r="D161" t="s">
        <v>1048</v>
      </c>
      <c r="E161" t="s">
        <v>1437</v>
      </c>
      <c r="F161">
        <v>79</v>
      </c>
      <c r="G161">
        <v>2009</v>
      </c>
      <c r="H161">
        <v>711</v>
      </c>
      <c r="I161">
        <v>0</v>
      </c>
      <c r="J161">
        <v>0</v>
      </c>
      <c r="K161">
        <v>0</v>
      </c>
    </row>
    <row r="162" spans="1:11" x14ac:dyDescent="0.25">
      <c r="A162">
        <v>14074</v>
      </c>
      <c r="B162" t="s">
        <v>1486</v>
      </c>
      <c r="C162" t="s">
        <v>94</v>
      </c>
      <c r="D162" t="s">
        <v>1053</v>
      </c>
      <c r="E162" t="s">
        <v>1116</v>
      </c>
      <c r="F162">
        <v>20</v>
      </c>
      <c r="G162">
        <v>1974</v>
      </c>
      <c r="H162">
        <v>163</v>
      </c>
      <c r="I162">
        <v>21.939</v>
      </c>
      <c r="J162">
        <v>1325.412</v>
      </c>
      <c r="K162">
        <v>454</v>
      </c>
    </row>
    <row r="163" spans="1:11" x14ac:dyDescent="0.25">
      <c r="A163">
        <v>14075</v>
      </c>
      <c r="B163" t="s">
        <v>1486</v>
      </c>
      <c r="C163" t="s">
        <v>112</v>
      </c>
      <c r="D163" t="s">
        <v>139</v>
      </c>
      <c r="E163" t="s">
        <v>1116</v>
      </c>
      <c r="F163">
        <v>20</v>
      </c>
      <c r="G163">
        <v>1999</v>
      </c>
      <c r="H163">
        <v>50</v>
      </c>
      <c r="I163">
        <v>38.125</v>
      </c>
      <c r="J163">
        <v>2594.4699999999998</v>
      </c>
      <c r="K163">
        <v>1107</v>
      </c>
    </row>
    <row r="164" spans="1:11" x14ac:dyDescent="0.25">
      <c r="A164">
        <v>16013</v>
      </c>
      <c r="B164" t="s">
        <v>1487</v>
      </c>
      <c r="C164" t="s">
        <v>54</v>
      </c>
      <c r="E164" t="s">
        <v>1437</v>
      </c>
      <c r="F164">
        <v>79</v>
      </c>
      <c r="G164">
        <v>1988</v>
      </c>
      <c r="H164">
        <v>632</v>
      </c>
      <c r="I164">
        <v>0.75</v>
      </c>
      <c r="J164">
        <v>31.268999999999998</v>
      </c>
      <c r="K164">
        <v>0</v>
      </c>
    </row>
    <row r="165" spans="1:11" x14ac:dyDescent="0.25">
      <c r="A165">
        <v>10034</v>
      </c>
      <c r="B165" t="s">
        <v>167</v>
      </c>
      <c r="C165" t="s">
        <v>32</v>
      </c>
      <c r="E165" t="s">
        <v>168</v>
      </c>
      <c r="F165">
        <v>68</v>
      </c>
      <c r="G165">
        <v>1959</v>
      </c>
      <c r="H165">
        <v>181</v>
      </c>
      <c r="I165">
        <v>13.625</v>
      </c>
      <c r="J165">
        <v>1195.8710000000001</v>
      </c>
      <c r="K165">
        <v>573</v>
      </c>
    </row>
    <row r="166" spans="1:11" x14ac:dyDescent="0.25">
      <c r="A166">
        <v>10035</v>
      </c>
      <c r="B166" t="s">
        <v>169</v>
      </c>
      <c r="C166" t="s">
        <v>171</v>
      </c>
      <c r="D166" t="s">
        <v>1053</v>
      </c>
      <c r="E166" t="s">
        <v>168</v>
      </c>
      <c r="F166">
        <v>68</v>
      </c>
      <c r="G166">
        <v>1959</v>
      </c>
      <c r="H166">
        <v>285</v>
      </c>
      <c r="I166">
        <v>6.75</v>
      </c>
      <c r="J166">
        <v>575.88699999999994</v>
      </c>
      <c r="K166">
        <v>266</v>
      </c>
    </row>
    <row r="167" spans="1:11" x14ac:dyDescent="0.25">
      <c r="A167">
        <v>24218</v>
      </c>
      <c r="B167" t="s">
        <v>172</v>
      </c>
      <c r="C167" t="s">
        <v>54</v>
      </c>
      <c r="E167" t="s">
        <v>1162</v>
      </c>
      <c r="F167">
        <v>51</v>
      </c>
      <c r="G167">
        <v>1969</v>
      </c>
      <c r="H167">
        <v>18</v>
      </c>
      <c r="I167">
        <v>39.125</v>
      </c>
      <c r="J167">
        <v>3310.6239999999998</v>
      </c>
      <c r="K167">
        <v>1502</v>
      </c>
    </row>
    <row r="168" spans="1:11" x14ac:dyDescent="0.25">
      <c r="A168">
        <v>10069</v>
      </c>
      <c r="B168" t="s">
        <v>173</v>
      </c>
      <c r="C168" t="s">
        <v>24</v>
      </c>
      <c r="E168" t="s">
        <v>1163</v>
      </c>
      <c r="F168">
        <v>61</v>
      </c>
      <c r="G168">
        <v>1983</v>
      </c>
      <c r="H168">
        <v>235</v>
      </c>
      <c r="I168">
        <v>14.343999999999999</v>
      </c>
      <c r="J168">
        <v>791.42700000000002</v>
      </c>
      <c r="K168">
        <v>227</v>
      </c>
    </row>
    <row r="169" spans="1:11" x14ac:dyDescent="0.25">
      <c r="A169">
        <v>15032</v>
      </c>
      <c r="B169" t="s">
        <v>1488</v>
      </c>
      <c r="C169" t="s">
        <v>223</v>
      </c>
      <c r="E169" t="s">
        <v>58</v>
      </c>
      <c r="F169">
        <v>73</v>
      </c>
      <c r="G169">
        <v>1942</v>
      </c>
      <c r="H169">
        <v>378</v>
      </c>
      <c r="I169">
        <v>5.8680000000000003</v>
      </c>
      <c r="J169">
        <v>326.31799999999998</v>
      </c>
      <c r="K169">
        <v>68</v>
      </c>
    </row>
    <row r="170" spans="1:11" x14ac:dyDescent="0.25">
      <c r="A170">
        <v>15031</v>
      </c>
      <c r="B170" t="s">
        <v>1489</v>
      </c>
      <c r="C170" t="s">
        <v>265</v>
      </c>
      <c r="D170" t="s">
        <v>1053</v>
      </c>
      <c r="E170" t="s">
        <v>58</v>
      </c>
      <c r="F170">
        <v>73</v>
      </c>
      <c r="G170">
        <v>1947</v>
      </c>
      <c r="H170">
        <v>334</v>
      </c>
      <c r="I170">
        <v>8.2119999999999997</v>
      </c>
      <c r="J170">
        <v>448.74700000000001</v>
      </c>
      <c r="K170">
        <v>86</v>
      </c>
    </row>
    <row r="171" spans="1:11" x14ac:dyDescent="0.25">
      <c r="A171">
        <v>97290</v>
      </c>
      <c r="B171" t="s">
        <v>174</v>
      </c>
      <c r="C171" t="s">
        <v>46</v>
      </c>
      <c r="E171" t="s">
        <v>1087</v>
      </c>
      <c r="F171">
        <v>6</v>
      </c>
      <c r="G171">
        <v>1970</v>
      </c>
      <c r="H171">
        <v>536</v>
      </c>
      <c r="I171">
        <v>2.5</v>
      </c>
      <c r="J171">
        <v>88.888999999999996</v>
      </c>
      <c r="K171">
        <v>0</v>
      </c>
    </row>
    <row r="172" spans="1:11" x14ac:dyDescent="0.25">
      <c r="A172">
        <v>16056</v>
      </c>
      <c r="B172" t="s">
        <v>1490</v>
      </c>
      <c r="C172" t="s">
        <v>57</v>
      </c>
      <c r="E172" t="s">
        <v>1453</v>
      </c>
      <c r="F172">
        <v>82</v>
      </c>
      <c r="G172">
        <v>1966</v>
      </c>
      <c r="H172">
        <v>538</v>
      </c>
      <c r="I172">
        <v>2.2810000000000001</v>
      </c>
      <c r="J172">
        <v>84.677000000000007</v>
      </c>
      <c r="K172">
        <v>0</v>
      </c>
    </row>
    <row r="173" spans="1:11" x14ac:dyDescent="0.25">
      <c r="A173">
        <v>12056</v>
      </c>
      <c r="B173" t="s">
        <v>175</v>
      </c>
      <c r="C173" t="s">
        <v>46</v>
      </c>
      <c r="E173" t="s">
        <v>1123</v>
      </c>
      <c r="F173">
        <v>27</v>
      </c>
      <c r="G173">
        <v>1980</v>
      </c>
      <c r="H173">
        <v>234</v>
      </c>
      <c r="I173">
        <v>10.923</v>
      </c>
      <c r="J173">
        <v>801.03599999999994</v>
      </c>
      <c r="K173">
        <v>341</v>
      </c>
    </row>
    <row r="174" spans="1:11" x14ac:dyDescent="0.25">
      <c r="A174">
        <v>10008</v>
      </c>
      <c r="B174" t="s">
        <v>176</v>
      </c>
      <c r="C174" t="s">
        <v>177</v>
      </c>
      <c r="E174" t="s">
        <v>1173</v>
      </c>
      <c r="F174">
        <v>66</v>
      </c>
      <c r="G174">
        <v>1968</v>
      </c>
      <c r="H174">
        <v>573</v>
      </c>
      <c r="I174">
        <v>1.4690000000000001</v>
      </c>
      <c r="J174">
        <v>57.927</v>
      </c>
      <c r="K174">
        <v>0</v>
      </c>
    </row>
    <row r="175" spans="1:11" x14ac:dyDescent="0.25">
      <c r="A175">
        <v>13048</v>
      </c>
      <c r="B175" t="s">
        <v>1271</v>
      </c>
      <c r="C175" t="s">
        <v>171</v>
      </c>
      <c r="D175" t="s">
        <v>1053</v>
      </c>
      <c r="E175" t="s">
        <v>1173</v>
      </c>
      <c r="F175">
        <v>66</v>
      </c>
      <c r="G175">
        <v>1970</v>
      </c>
      <c r="H175">
        <v>712</v>
      </c>
      <c r="I175">
        <v>0</v>
      </c>
      <c r="J175">
        <v>0</v>
      </c>
      <c r="K175">
        <v>0</v>
      </c>
    </row>
    <row r="176" spans="1:11" x14ac:dyDescent="0.25">
      <c r="A176">
        <v>13070</v>
      </c>
      <c r="B176" t="s">
        <v>1491</v>
      </c>
      <c r="C176" t="s">
        <v>1202</v>
      </c>
      <c r="D176" t="s">
        <v>1053</v>
      </c>
      <c r="E176" t="s">
        <v>52</v>
      </c>
      <c r="F176">
        <v>16</v>
      </c>
      <c r="G176">
        <v>1981</v>
      </c>
      <c r="H176">
        <v>412</v>
      </c>
      <c r="I176">
        <v>5</v>
      </c>
      <c r="J176">
        <v>258.5</v>
      </c>
      <c r="K176">
        <v>85</v>
      </c>
    </row>
    <row r="177" spans="1:11" x14ac:dyDescent="0.25">
      <c r="A177">
        <v>16072</v>
      </c>
      <c r="B177" t="s">
        <v>1492</v>
      </c>
      <c r="C177" t="s">
        <v>120</v>
      </c>
      <c r="D177" t="s">
        <v>1053</v>
      </c>
      <c r="E177" t="s">
        <v>1441</v>
      </c>
      <c r="F177">
        <v>84</v>
      </c>
      <c r="G177">
        <v>1947</v>
      </c>
      <c r="H177">
        <v>586</v>
      </c>
      <c r="I177">
        <v>0.313</v>
      </c>
      <c r="J177">
        <v>54.188000000000002</v>
      </c>
      <c r="K177">
        <v>37</v>
      </c>
    </row>
    <row r="178" spans="1:11" x14ac:dyDescent="0.25">
      <c r="A178">
        <v>14101</v>
      </c>
      <c r="B178" t="s">
        <v>1493</v>
      </c>
      <c r="C178" t="s">
        <v>46</v>
      </c>
      <c r="E178" t="s">
        <v>1142</v>
      </c>
      <c r="F178">
        <v>64</v>
      </c>
      <c r="G178">
        <v>1968</v>
      </c>
      <c r="H178">
        <v>603</v>
      </c>
      <c r="I178">
        <v>1</v>
      </c>
      <c r="J178">
        <v>44.399000000000001</v>
      </c>
      <c r="K178">
        <v>0</v>
      </c>
    </row>
    <row r="179" spans="1:11" x14ac:dyDescent="0.25">
      <c r="A179">
        <v>28053</v>
      </c>
      <c r="B179" t="s">
        <v>178</v>
      </c>
      <c r="C179" t="s">
        <v>179</v>
      </c>
      <c r="E179" t="s">
        <v>1094</v>
      </c>
      <c r="F179">
        <v>43</v>
      </c>
      <c r="G179">
        <v>1975</v>
      </c>
      <c r="H179">
        <v>713</v>
      </c>
      <c r="I179">
        <v>0</v>
      </c>
      <c r="J179">
        <v>0</v>
      </c>
      <c r="K179">
        <v>0</v>
      </c>
    </row>
    <row r="180" spans="1:11" x14ac:dyDescent="0.25">
      <c r="A180">
        <v>96162</v>
      </c>
      <c r="B180" t="s">
        <v>180</v>
      </c>
      <c r="C180" t="s">
        <v>78</v>
      </c>
      <c r="E180" t="s">
        <v>1181</v>
      </c>
      <c r="F180">
        <v>5</v>
      </c>
      <c r="G180">
        <v>1963</v>
      </c>
      <c r="H180">
        <v>416</v>
      </c>
      <c r="I180">
        <v>7.8280000000000003</v>
      </c>
      <c r="J180">
        <v>256.55900000000003</v>
      </c>
      <c r="K180">
        <v>0</v>
      </c>
    </row>
    <row r="181" spans="1:11" x14ac:dyDescent="0.25">
      <c r="A181">
        <v>96163</v>
      </c>
      <c r="B181" t="s">
        <v>181</v>
      </c>
      <c r="C181" t="s">
        <v>182</v>
      </c>
      <c r="D181" t="s">
        <v>1053</v>
      </c>
      <c r="E181" t="s">
        <v>1181</v>
      </c>
      <c r="F181">
        <v>5</v>
      </c>
      <c r="G181">
        <v>1963</v>
      </c>
      <c r="H181">
        <v>451</v>
      </c>
      <c r="I181">
        <v>6.3280000000000003</v>
      </c>
      <c r="J181">
        <v>208.47300000000001</v>
      </c>
      <c r="K181">
        <v>0</v>
      </c>
    </row>
    <row r="182" spans="1:11" x14ac:dyDescent="0.25">
      <c r="A182">
        <v>11050</v>
      </c>
      <c r="B182" t="s">
        <v>183</v>
      </c>
      <c r="C182" t="s">
        <v>94</v>
      </c>
      <c r="D182" t="s">
        <v>1053</v>
      </c>
      <c r="E182" t="s">
        <v>1116</v>
      </c>
      <c r="F182">
        <v>20</v>
      </c>
      <c r="G182">
        <v>1976</v>
      </c>
      <c r="H182">
        <v>161</v>
      </c>
      <c r="I182">
        <v>22.812999999999999</v>
      </c>
      <c r="J182">
        <v>1335.338</v>
      </c>
      <c r="K182">
        <v>425</v>
      </c>
    </row>
    <row r="183" spans="1:11" x14ac:dyDescent="0.25">
      <c r="A183">
        <v>96217</v>
      </c>
      <c r="B183" t="s">
        <v>183</v>
      </c>
      <c r="C183" t="s">
        <v>184</v>
      </c>
      <c r="E183" t="s">
        <v>1116</v>
      </c>
      <c r="F183">
        <v>20</v>
      </c>
      <c r="G183">
        <v>1949</v>
      </c>
      <c r="H183">
        <v>108</v>
      </c>
      <c r="I183">
        <v>29.187999999999999</v>
      </c>
      <c r="J183">
        <v>1824.192</v>
      </c>
      <c r="K183">
        <v>913</v>
      </c>
    </row>
    <row r="184" spans="1:11" x14ac:dyDescent="0.25">
      <c r="A184">
        <v>25054</v>
      </c>
      <c r="B184" t="s">
        <v>185</v>
      </c>
      <c r="C184" t="s">
        <v>46</v>
      </c>
      <c r="E184" t="s">
        <v>1182</v>
      </c>
      <c r="F184">
        <v>56</v>
      </c>
      <c r="G184">
        <v>1953</v>
      </c>
      <c r="H184">
        <v>122</v>
      </c>
      <c r="I184">
        <v>24.814</v>
      </c>
      <c r="J184">
        <v>1714</v>
      </c>
      <c r="K184">
        <v>741</v>
      </c>
    </row>
    <row r="185" spans="1:11" x14ac:dyDescent="0.25">
      <c r="A185">
        <v>26022</v>
      </c>
      <c r="B185" t="s">
        <v>185</v>
      </c>
      <c r="C185" t="s">
        <v>24</v>
      </c>
      <c r="E185" t="s">
        <v>1182</v>
      </c>
      <c r="F185">
        <v>56</v>
      </c>
      <c r="G185">
        <v>1976</v>
      </c>
      <c r="H185">
        <v>471</v>
      </c>
      <c r="I185">
        <v>3.8439999999999999</v>
      </c>
      <c r="J185">
        <v>181.61099999999999</v>
      </c>
      <c r="K185">
        <v>32</v>
      </c>
    </row>
    <row r="186" spans="1:11" x14ac:dyDescent="0.25">
      <c r="A186">
        <v>28006</v>
      </c>
      <c r="B186" t="s">
        <v>186</v>
      </c>
      <c r="C186" t="s">
        <v>46</v>
      </c>
      <c r="E186" t="s">
        <v>1182</v>
      </c>
      <c r="F186">
        <v>56</v>
      </c>
      <c r="G186">
        <v>1992</v>
      </c>
      <c r="H186">
        <v>6</v>
      </c>
      <c r="I186">
        <v>47.5</v>
      </c>
      <c r="J186">
        <v>4214.1000000000004</v>
      </c>
      <c r="K186">
        <v>1883</v>
      </c>
    </row>
    <row r="187" spans="1:11" x14ac:dyDescent="0.25">
      <c r="A187">
        <v>14021</v>
      </c>
      <c r="B187" t="s">
        <v>186</v>
      </c>
      <c r="C187" t="s">
        <v>187</v>
      </c>
      <c r="E187" t="s">
        <v>696</v>
      </c>
      <c r="F187">
        <v>33</v>
      </c>
      <c r="G187">
        <v>1969</v>
      </c>
      <c r="H187">
        <v>714</v>
      </c>
      <c r="I187">
        <v>0</v>
      </c>
      <c r="J187">
        <v>0</v>
      </c>
      <c r="K187">
        <v>0</v>
      </c>
    </row>
    <row r="188" spans="1:11" x14ac:dyDescent="0.25">
      <c r="A188">
        <v>11019</v>
      </c>
      <c r="B188" t="s">
        <v>188</v>
      </c>
      <c r="C188" t="s">
        <v>15</v>
      </c>
      <c r="E188" t="s">
        <v>107</v>
      </c>
      <c r="F188">
        <v>45</v>
      </c>
      <c r="G188">
        <v>1950</v>
      </c>
      <c r="H188">
        <v>589</v>
      </c>
      <c r="I188">
        <v>1.25</v>
      </c>
      <c r="J188">
        <v>53.953000000000003</v>
      </c>
      <c r="K188">
        <v>0</v>
      </c>
    </row>
    <row r="189" spans="1:11" x14ac:dyDescent="0.25">
      <c r="A189">
        <v>16073</v>
      </c>
      <c r="B189" t="s">
        <v>188</v>
      </c>
      <c r="C189" t="s">
        <v>54</v>
      </c>
      <c r="E189" t="s">
        <v>1441</v>
      </c>
      <c r="F189">
        <v>84</v>
      </c>
      <c r="G189">
        <v>1948</v>
      </c>
      <c r="H189">
        <v>529</v>
      </c>
      <c r="I189">
        <v>0.75</v>
      </c>
      <c r="J189">
        <v>95.230999999999995</v>
      </c>
      <c r="K189">
        <v>58</v>
      </c>
    </row>
    <row r="190" spans="1:11" x14ac:dyDescent="0.25">
      <c r="A190">
        <v>16074</v>
      </c>
      <c r="B190" t="s">
        <v>1494</v>
      </c>
      <c r="C190" t="s">
        <v>120</v>
      </c>
      <c r="D190" t="s">
        <v>1053</v>
      </c>
      <c r="E190" t="s">
        <v>1441</v>
      </c>
      <c r="F190">
        <v>84</v>
      </c>
      <c r="G190">
        <v>1950</v>
      </c>
      <c r="H190">
        <v>530</v>
      </c>
      <c r="I190">
        <v>0.75</v>
      </c>
      <c r="J190">
        <v>95.230999999999995</v>
      </c>
      <c r="K190">
        <v>58</v>
      </c>
    </row>
    <row r="191" spans="1:11" x14ac:dyDescent="0.25">
      <c r="A191">
        <v>15059</v>
      </c>
      <c r="B191" t="s">
        <v>1495</v>
      </c>
      <c r="C191" t="s">
        <v>80</v>
      </c>
      <c r="E191" t="s">
        <v>1119</v>
      </c>
      <c r="F191">
        <v>54</v>
      </c>
      <c r="G191">
        <v>1959</v>
      </c>
      <c r="H191">
        <v>143</v>
      </c>
      <c r="I191">
        <v>16.626000000000001</v>
      </c>
      <c r="J191">
        <v>1515.8989999999999</v>
      </c>
      <c r="K191">
        <v>780</v>
      </c>
    </row>
    <row r="192" spans="1:11" x14ac:dyDescent="0.25">
      <c r="A192">
        <v>99594</v>
      </c>
      <c r="B192" t="s">
        <v>189</v>
      </c>
      <c r="C192" t="s">
        <v>15</v>
      </c>
      <c r="E192" t="s">
        <v>680</v>
      </c>
      <c r="F192">
        <v>19</v>
      </c>
      <c r="G192">
        <v>1960</v>
      </c>
      <c r="H192">
        <v>715</v>
      </c>
      <c r="I192">
        <v>0</v>
      </c>
      <c r="J192">
        <v>0</v>
      </c>
      <c r="K192">
        <v>0</v>
      </c>
    </row>
    <row r="193" spans="1:11" x14ac:dyDescent="0.25">
      <c r="A193">
        <v>15024</v>
      </c>
      <c r="B193" t="s">
        <v>1496</v>
      </c>
      <c r="C193" t="s">
        <v>1497</v>
      </c>
      <c r="E193" t="s">
        <v>65</v>
      </c>
      <c r="F193">
        <v>67</v>
      </c>
      <c r="G193">
        <v>1959</v>
      </c>
      <c r="H193">
        <v>628</v>
      </c>
      <c r="I193">
        <v>0.875</v>
      </c>
      <c r="J193">
        <v>32.183</v>
      </c>
      <c r="K193">
        <v>0</v>
      </c>
    </row>
    <row r="194" spans="1:11" x14ac:dyDescent="0.25">
      <c r="A194">
        <v>24309</v>
      </c>
      <c r="B194" t="s">
        <v>190</v>
      </c>
      <c r="C194" t="s">
        <v>39</v>
      </c>
      <c r="E194" t="s">
        <v>1103</v>
      </c>
      <c r="F194">
        <v>48</v>
      </c>
      <c r="G194">
        <v>1985</v>
      </c>
      <c r="H194">
        <v>88</v>
      </c>
      <c r="I194">
        <v>26</v>
      </c>
      <c r="J194">
        <v>2009.6610000000001</v>
      </c>
      <c r="K194">
        <v>776</v>
      </c>
    </row>
    <row r="195" spans="1:11" x14ac:dyDescent="0.25">
      <c r="A195">
        <v>24311</v>
      </c>
      <c r="B195" t="s">
        <v>190</v>
      </c>
      <c r="C195" t="s">
        <v>54</v>
      </c>
      <c r="E195" t="s">
        <v>1103</v>
      </c>
      <c r="F195">
        <v>48</v>
      </c>
      <c r="G195">
        <v>1989</v>
      </c>
      <c r="H195">
        <v>396</v>
      </c>
      <c r="I195">
        <v>3</v>
      </c>
      <c r="J195">
        <v>277.08100000000002</v>
      </c>
      <c r="K195">
        <v>133</v>
      </c>
    </row>
    <row r="196" spans="1:11" x14ac:dyDescent="0.25">
      <c r="A196">
        <v>16020</v>
      </c>
      <c r="B196" t="s">
        <v>1498</v>
      </c>
      <c r="C196" t="s">
        <v>80</v>
      </c>
      <c r="E196" t="s">
        <v>107</v>
      </c>
      <c r="F196">
        <v>45</v>
      </c>
      <c r="G196">
        <v>1968</v>
      </c>
      <c r="H196">
        <v>716</v>
      </c>
      <c r="I196">
        <v>0</v>
      </c>
      <c r="J196">
        <v>0</v>
      </c>
      <c r="K196">
        <v>0</v>
      </c>
    </row>
    <row r="197" spans="1:11" x14ac:dyDescent="0.25">
      <c r="A197">
        <v>15027</v>
      </c>
      <c r="B197" t="s">
        <v>1499</v>
      </c>
      <c r="C197" t="s">
        <v>67</v>
      </c>
      <c r="E197" t="s">
        <v>58</v>
      </c>
      <c r="F197">
        <v>73</v>
      </c>
      <c r="G197">
        <v>1951</v>
      </c>
      <c r="H197">
        <v>375</v>
      </c>
      <c r="I197">
        <v>7.391</v>
      </c>
      <c r="J197">
        <v>330.22</v>
      </c>
      <c r="K197">
        <v>30</v>
      </c>
    </row>
    <row r="198" spans="1:11" x14ac:dyDescent="0.25">
      <c r="A198">
        <v>10021</v>
      </c>
      <c r="B198" t="s">
        <v>191</v>
      </c>
      <c r="C198" t="s">
        <v>80</v>
      </c>
      <c r="E198" t="s">
        <v>65</v>
      </c>
      <c r="F198">
        <v>67</v>
      </c>
      <c r="G198">
        <v>1964</v>
      </c>
      <c r="H198">
        <v>665</v>
      </c>
      <c r="I198">
        <v>0.313</v>
      </c>
      <c r="J198">
        <v>9.1379999999999999</v>
      </c>
      <c r="K198">
        <v>0</v>
      </c>
    </row>
    <row r="199" spans="1:11" x14ac:dyDescent="0.25">
      <c r="A199">
        <v>96108</v>
      </c>
      <c r="B199" t="s">
        <v>1500</v>
      </c>
      <c r="C199" t="s">
        <v>67</v>
      </c>
      <c r="E199" t="s">
        <v>1147</v>
      </c>
      <c r="F199">
        <v>1</v>
      </c>
      <c r="G199">
        <v>1967</v>
      </c>
      <c r="H199">
        <v>241</v>
      </c>
      <c r="I199">
        <v>7.1879999999999997</v>
      </c>
      <c r="J199">
        <v>757.38300000000004</v>
      </c>
      <c r="K199">
        <v>409</v>
      </c>
    </row>
    <row r="200" spans="1:11" x14ac:dyDescent="0.25">
      <c r="A200">
        <v>96059</v>
      </c>
      <c r="B200" t="s">
        <v>192</v>
      </c>
      <c r="C200" t="s">
        <v>193</v>
      </c>
      <c r="D200" t="s">
        <v>1053</v>
      </c>
      <c r="E200" t="s">
        <v>1147</v>
      </c>
      <c r="F200">
        <v>1</v>
      </c>
      <c r="G200">
        <v>1970</v>
      </c>
      <c r="H200">
        <v>94</v>
      </c>
      <c r="I200">
        <v>21.125</v>
      </c>
      <c r="J200">
        <v>1986.1189999999999</v>
      </c>
      <c r="K200">
        <v>944</v>
      </c>
    </row>
    <row r="201" spans="1:11" x14ac:dyDescent="0.25">
      <c r="A201">
        <v>98419</v>
      </c>
      <c r="B201" t="s">
        <v>196</v>
      </c>
      <c r="C201" t="s">
        <v>166</v>
      </c>
      <c r="E201" t="s">
        <v>1123</v>
      </c>
      <c r="F201">
        <v>27</v>
      </c>
      <c r="G201">
        <v>1952</v>
      </c>
      <c r="H201">
        <v>237</v>
      </c>
      <c r="I201">
        <v>9.657</v>
      </c>
      <c r="J201">
        <v>784.15300000000002</v>
      </c>
      <c r="K201">
        <v>368</v>
      </c>
    </row>
    <row r="202" spans="1:11" x14ac:dyDescent="0.25">
      <c r="A202">
        <v>14006</v>
      </c>
      <c r="B202" t="s">
        <v>1501</v>
      </c>
      <c r="C202" t="s">
        <v>39</v>
      </c>
      <c r="E202" t="s">
        <v>1147</v>
      </c>
      <c r="F202">
        <v>1</v>
      </c>
      <c r="G202">
        <v>1970</v>
      </c>
      <c r="H202">
        <v>78</v>
      </c>
      <c r="I202">
        <v>24.594000000000001</v>
      </c>
      <c r="J202">
        <v>2157.0430000000001</v>
      </c>
      <c r="K202">
        <v>1034</v>
      </c>
    </row>
    <row r="203" spans="1:11" x14ac:dyDescent="0.25">
      <c r="A203">
        <v>16103</v>
      </c>
      <c r="B203" t="s">
        <v>1721</v>
      </c>
      <c r="C203" t="s">
        <v>489</v>
      </c>
      <c r="D203" t="s">
        <v>1053</v>
      </c>
      <c r="E203" t="s">
        <v>1176</v>
      </c>
      <c r="F203">
        <v>42</v>
      </c>
      <c r="G203">
        <v>1972</v>
      </c>
      <c r="H203">
        <v>571</v>
      </c>
      <c r="I203">
        <v>0.59399999999999997</v>
      </c>
      <c r="J203">
        <v>59.612000000000002</v>
      </c>
      <c r="K203">
        <v>34</v>
      </c>
    </row>
    <row r="204" spans="1:11" x14ac:dyDescent="0.25">
      <c r="A204">
        <v>98423</v>
      </c>
      <c r="B204" t="s">
        <v>197</v>
      </c>
      <c r="C204" t="s">
        <v>32</v>
      </c>
      <c r="E204" t="s">
        <v>1123</v>
      </c>
      <c r="F204">
        <v>27</v>
      </c>
      <c r="G204">
        <v>1982</v>
      </c>
      <c r="H204">
        <v>71</v>
      </c>
      <c r="I204">
        <v>32.5</v>
      </c>
      <c r="J204">
        <v>2235.0889999999999</v>
      </c>
      <c r="K204">
        <v>849</v>
      </c>
    </row>
    <row r="205" spans="1:11" x14ac:dyDescent="0.25">
      <c r="A205">
        <v>21796</v>
      </c>
      <c r="B205" t="s">
        <v>198</v>
      </c>
      <c r="C205" t="s">
        <v>194</v>
      </c>
      <c r="D205" t="s">
        <v>1053</v>
      </c>
      <c r="E205" t="s">
        <v>1123</v>
      </c>
      <c r="F205">
        <v>27</v>
      </c>
      <c r="G205">
        <v>1992</v>
      </c>
      <c r="H205">
        <v>717</v>
      </c>
      <c r="I205">
        <v>0</v>
      </c>
      <c r="J205">
        <v>0</v>
      </c>
      <c r="K205">
        <v>0</v>
      </c>
    </row>
    <row r="206" spans="1:11" x14ac:dyDescent="0.25">
      <c r="A206">
        <v>99500</v>
      </c>
      <c r="B206" t="s">
        <v>198</v>
      </c>
      <c r="C206" t="s">
        <v>199</v>
      </c>
      <c r="D206" t="s">
        <v>1053</v>
      </c>
      <c r="E206" t="s">
        <v>1123</v>
      </c>
      <c r="F206">
        <v>27</v>
      </c>
      <c r="G206">
        <v>1962</v>
      </c>
      <c r="H206">
        <v>718</v>
      </c>
      <c r="I206">
        <v>0</v>
      </c>
      <c r="J206">
        <v>0</v>
      </c>
      <c r="K206">
        <v>0</v>
      </c>
    </row>
    <row r="207" spans="1:11" x14ac:dyDescent="0.25">
      <c r="A207">
        <v>98477</v>
      </c>
      <c r="B207" t="s">
        <v>200</v>
      </c>
      <c r="C207" t="s">
        <v>201</v>
      </c>
      <c r="E207" t="s">
        <v>52</v>
      </c>
      <c r="F207">
        <v>16</v>
      </c>
      <c r="G207">
        <v>1987</v>
      </c>
      <c r="H207">
        <v>379</v>
      </c>
      <c r="I207">
        <v>12.375</v>
      </c>
      <c r="J207">
        <v>323.67700000000002</v>
      </c>
      <c r="K207">
        <v>0</v>
      </c>
    </row>
    <row r="208" spans="1:11" x14ac:dyDescent="0.25">
      <c r="A208">
        <v>98422</v>
      </c>
      <c r="B208" t="s">
        <v>200</v>
      </c>
      <c r="C208" t="s">
        <v>202</v>
      </c>
      <c r="E208" t="s">
        <v>52</v>
      </c>
      <c r="F208">
        <v>16</v>
      </c>
      <c r="G208">
        <v>1953</v>
      </c>
      <c r="H208">
        <v>148</v>
      </c>
      <c r="I208">
        <v>19.937999999999999</v>
      </c>
      <c r="J208">
        <v>1450.847</v>
      </c>
      <c r="K208">
        <v>713</v>
      </c>
    </row>
    <row r="209" spans="1:11" x14ac:dyDescent="0.25">
      <c r="A209">
        <v>98476</v>
      </c>
      <c r="B209" t="s">
        <v>203</v>
      </c>
      <c r="C209" t="s">
        <v>204</v>
      </c>
      <c r="D209" t="s">
        <v>1053</v>
      </c>
      <c r="E209" t="s">
        <v>52</v>
      </c>
      <c r="F209">
        <v>16</v>
      </c>
      <c r="G209">
        <v>1957</v>
      </c>
      <c r="H209">
        <v>432</v>
      </c>
      <c r="I209">
        <v>5.0629999999999997</v>
      </c>
      <c r="J209">
        <v>237.78800000000001</v>
      </c>
      <c r="K209">
        <v>95</v>
      </c>
    </row>
    <row r="210" spans="1:11" x14ac:dyDescent="0.25">
      <c r="A210">
        <v>27011</v>
      </c>
      <c r="B210" t="s">
        <v>205</v>
      </c>
      <c r="C210" t="s">
        <v>206</v>
      </c>
      <c r="D210" t="s">
        <v>1053</v>
      </c>
      <c r="E210" t="s">
        <v>38</v>
      </c>
      <c r="F210">
        <v>59</v>
      </c>
      <c r="G210">
        <v>1991</v>
      </c>
      <c r="H210">
        <v>477</v>
      </c>
      <c r="I210">
        <v>2.6880000000000002</v>
      </c>
      <c r="J210">
        <v>165.55699999999999</v>
      </c>
      <c r="K210">
        <v>61</v>
      </c>
    </row>
    <row r="211" spans="1:11" x14ac:dyDescent="0.25">
      <c r="A211">
        <v>16102</v>
      </c>
      <c r="B211" t="s">
        <v>1502</v>
      </c>
      <c r="C211" t="s">
        <v>78</v>
      </c>
      <c r="E211" t="s">
        <v>1441</v>
      </c>
      <c r="F211">
        <v>84</v>
      </c>
      <c r="G211">
        <v>1952</v>
      </c>
      <c r="H211">
        <v>719</v>
      </c>
      <c r="I211">
        <v>0</v>
      </c>
      <c r="J211">
        <v>0</v>
      </c>
      <c r="K211">
        <v>0</v>
      </c>
    </row>
    <row r="212" spans="1:11" x14ac:dyDescent="0.25">
      <c r="A212">
        <v>16100</v>
      </c>
      <c r="B212" t="s">
        <v>1503</v>
      </c>
      <c r="C212" t="s">
        <v>20</v>
      </c>
      <c r="D212" t="s">
        <v>1053</v>
      </c>
      <c r="E212" t="s">
        <v>1441</v>
      </c>
      <c r="F212">
        <v>84</v>
      </c>
      <c r="G212">
        <v>1953</v>
      </c>
      <c r="H212">
        <v>720</v>
      </c>
      <c r="I212">
        <v>0</v>
      </c>
      <c r="J212">
        <v>0</v>
      </c>
      <c r="K212">
        <v>0</v>
      </c>
    </row>
    <row r="213" spans="1:11" x14ac:dyDescent="0.25">
      <c r="A213">
        <v>11058</v>
      </c>
      <c r="B213" t="s">
        <v>207</v>
      </c>
      <c r="C213" t="s">
        <v>72</v>
      </c>
      <c r="E213" t="s">
        <v>1138</v>
      </c>
      <c r="F213">
        <v>21</v>
      </c>
      <c r="G213">
        <v>1960</v>
      </c>
      <c r="H213">
        <v>221</v>
      </c>
      <c r="I213">
        <v>11.734999999999999</v>
      </c>
      <c r="J213">
        <v>889.44399999999996</v>
      </c>
      <c r="K213">
        <v>390</v>
      </c>
    </row>
    <row r="214" spans="1:11" x14ac:dyDescent="0.25">
      <c r="A214">
        <v>14028</v>
      </c>
      <c r="B214" t="s">
        <v>1504</v>
      </c>
      <c r="C214" t="s">
        <v>1505</v>
      </c>
      <c r="D214" t="s">
        <v>1053</v>
      </c>
      <c r="E214" t="s">
        <v>1506</v>
      </c>
      <c r="F214">
        <v>77</v>
      </c>
      <c r="G214">
        <v>1958</v>
      </c>
      <c r="H214">
        <v>205</v>
      </c>
      <c r="I214">
        <v>13.534000000000001</v>
      </c>
      <c r="J214">
        <v>992.48400000000004</v>
      </c>
      <c r="K214">
        <v>439</v>
      </c>
    </row>
    <row r="215" spans="1:11" x14ac:dyDescent="0.25">
      <c r="A215">
        <v>13054</v>
      </c>
      <c r="B215" t="s">
        <v>1272</v>
      </c>
      <c r="C215" t="s">
        <v>1273</v>
      </c>
      <c r="E215" t="s">
        <v>1187</v>
      </c>
      <c r="F215">
        <v>15</v>
      </c>
      <c r="G215">
        <v>1981</v>
      </c>
      <c r="H215">
        <v>345</v>
      </c>
      <c r="I215">
        <v>6.5629999999999997</v>
      </c>
      <c r="J215">
        <v>417.50700000000001</v>
      </c>
      <c r="K215">
        <v>152</v>
      </c>
    </row>
    <row r="216" spans="1:11" x14ac:dyDescent="0.25">
      <c r="A216">
        <v>14060</v>
      </c>
      <c r="B216" t="s">
        <v>208</v>
      </c>
      <c r="C216" t="s">
        <v>67</v>
      </c>
      <c r="E216" t="s">
        <v>1147</v>
      </c>
      <c r="F216">
        <v>1</v>
      </c>
      <c r="G216">
        <v>1975</v>
      </c>
      <c r="H216">
        <v>69</v>
      </c>
      <c r="I216">
        <v>30.75</v>
      </c>
      <c r="J216">
        <v>2273.2220000000002</v>
      </c>
      <c r="K216">
        <v>947</v>
      </c>
    </row>
    <row r="217" spans="1:11" x14ac:dyDescent="0.25">
      <c r="A217">
        <v>16075</v>
      </c>
      <c r="B217" t="s">
        <v>1507</v>
      </c>
      <c r="C217" t="s">
        <v>67</v>
      </c>
      <c r="E217" t="s">
        <v>1441</v>
      </c>
      <c r="F217">
        <v>84</v>
      </c>
      <c r="G217">
        <v>1954</v>
      </c>
      <c r="H217">
        <v>491</v>
      </c>
      <c r="I217">
        <v>2.9689999999999999</v>
      </c>
      <c r="J217">
        <v>143.61099999999999</v>
      </c>
      <c r="K217">
        <v>61</v>
      </c>
    </row>
    <row r="218" spans="1:11" x14ac:dyDescent="0.25">
      <c r="A218">
        <v>16076</v>
      </c>
      <c r="B218" t="s">
        <v>1508</v>
      </c>
      <c r="C218" t="s">
        <v>36</v>
      </c>
      <c r="D218" t="s">
        <v>1053</v>
      </c>
      <c r="E218" t="s">
        <v>1441</v>
      </c>
      <c r="F218">
        <v>84</v>
      </c>
      <c r="G218">
        <v>1948</v>
      </c>
      <c r="H218">
        <v>526</v>
      </c>
      <c r="I218">
        <v>0.76600000000000001</v>
      </c>
      <c r="J218">
        <v>99.006</v>
      </c>
      <c r="K218">
        <v>61</v>
      </c>
    </row>
    <row r="219" spans="1:11" x14ac:dyDescent="0.25">
      <c r="A219">
        <v>11027</v>
      </c>
      <c r="B219" t="s">
        <v>209</v>
      </c>
      <c r="C219" t="s">
        <v>210</v>
      </c>
      <c r="E219" t="s">
        <v>1172</v>
      </c>
      <c r="F219">
        <v>24</v>
      </c>
      <c r="G219">
        <v>1985</v>
      </c>
      <c r="H219">
        <v>601</v>
      </c>
      <c r="I219">
        <v>1</v>
      </c>
      <c r="J219">
        <v>45.026000000000003</v>
      </c>
      <c r="K219">
        <v>0</v>
      </c>
    </row>
    <row r="220" spans="1:11" x14ac:dyDescent="0.25">
      <c r="A220">
        <v>21851</v>
      </c>
      <c r="B220" t="s">
        <v>211</v>
      </c>
      <c r="C220" t="s">
        <v>30</v>
      </c>
      <c r="E220" t="s">
        <v>1172</v>
      </c>
      <c r="F220">
        <v>24</v>
      </c>
      <c r="G220">
        <v>1988</v>
      </c>
      <c r="H220">
        <v>154</v>
      </c>
      <c r="I220">
        <v>15.218999999999999</v>
      </c>
      <c r="J220">
        <v>1404.9590000000001</v>
      </c>
      <c r="K220">
        <v>699</v>
      </c>
    </row>
    <row r="221" spans="1:11" x14ac:dyDescent="0.25">
      <c r="A221">
        <v>15091</v>
      </c>
      <c r="B221" t="s">
        <v>211</v>
      </c>
      <c r="C221" t="s">
        <v>72</v>
      </c>
      <c r="E221" t="s">
        <v>107</v>
      </c>
      <c r="F221">
        <v>45</v>
      </c>
      <c r="G221">
        <v>1950</v>
      </c>
      <c r="H221">
        <v>590</v>
      </c>
      <c r="I221">
        <v>1.25</v>
      </c>
      <c r="J221">
        <v>53.953000000000003</v>
      </c>
      <c r="K221">
        <v>0</v>
      </c>
    </row>
    <row r="222" spans="1:11" x14ac:dyDescent="0.25">
      <c r="A222">
        <v>14070</v>
      </c>
      <c r="B222" t="s">
        <v>1509</v>
      </c>
      <c r="C222" t="s">
        <v>80</v>
      </c>
      <c r="E222" t="s">
        <v>1103</v>
      </c>
      <c r="F222">
        <v>48</v>
      </c>
      <c r="G222">
        <v>1957</v>
      </c>
      <c r="H222">
        <v>469</v>
      </c>
      <c r="I222">
        <v>3.282</v>
      </c>
      <c r="J222">
        <v>185.51499999999999</v>
      </c>
      <c r="K222">
        <v>47</v>
      </c>
    </row>
    <row r="223" spans="1:11" x14ac:dyDescent="0.25">
      <c r="A223">
        <v>14014</v>
      </c>
      <c r="B223" t="s">
        <v>1510</v>
      </c>
      <c r="C223" t="s">
        <v>489</v>
      </c>
      <c r="D223" t="s">
        <v>1053</v>
      </c>
      <c r="E223" t="s">
        <v>1103</v>
      </c>
      <c r="F223">
        <v>48</v>
      </c>
      <c r="G223">
        <v>1953</v>
      </c>
      <c r="H223">
        <v>721</v>
      </c>
      <c r="I223">
        <v>0</v>
      </c>
      <c r="J223">
        <v>0</v>
      </c>
      <c r="K223">
        <v>0</v>
      </c>
    </row>
    <row r="224" spans="1:11" x14ac:dyDescent="0.25">
      <c r="A224">
        <v>29045</v>
      </c>
      <c r="B224" t="s">
        <v>212</v>
      </c>
      <c r="C224" t="s">
        <v>64</v>
      </c>
      <c r="E224" t="s">
        <v>680</v>
      </c>
      <c r="F224">
        <v>19</v>
      </c>
      <c r="G224">
        <v>1956</v>
      </c>
      <c r="H224">
        <v>722</v>
      </c>
      <c r="I224">
        <v>0</v>
      </c>
      <c r="J224">
        <v>0</v>
      </c>
      <c r="K224">
        <v>0</v>
      </c>
    </row>
    <row r="225" spans="1:11" x14ac:dyDescent="0.25">
      <c r="A225">
        <v>96089</v>
      </c>
      <c r="B225" t="s">
        <v>213</v>
      </c>
      <c r="C225" t="s">
        <v>16</v>
      </c>
      <c r="E225" t="s">
        <v>52</v>
      </c>
      <c r="F225">
        <v>16</v>
      </c>
      <c r="G225">
        <v>1968</v>
      </c>
      <c r="H225">
        <v>598</v>
      </c>
      <c r="I225">
        <v>2.25</v>
      </c>
      <c r="J225">
        <v>47.228000000000002</v>
      </c>
      <c r="K225">
        <v>0</v>
      </c>
    </row>
    <row r="226" spans="1:11" x14ac:dyDescent="0.25">
      <c r="A226">
        <v>13028</v>
      </c>
      <c r="B226" t="s">
        <v>1183</v>
      </c>
      <c r="C226" t="s">
        <v>78</v>
      </c>
      <c r="E226" t="s">
        <v>1169</v>
      </c>
      <c r="F226">
        <v>76</v>
      </c>
      <c r="G226">
        <v>1959</v>
      </c>
      <c r="H226">
        <v>621</v>
      </c>
      <c r="I226">
        <v>0.84399999999999997</v>
      </c>
      <c r="J226">
        <v>36.871000000000002</v>
      </c>
      <c r="K226">
        <v>0</v>
      </c>
    </row>
    <row r="227" spans="1:11" x14ac:dyDescent="0.25">
      <c r="A227">
        <v>25002</v>
      </c>
      <c r="B227" t="s">
        <v>214</v>
      </c>
      <c r="C227" t="s">
        <v>112</v>
      </c>
      <c r="D227" t="s">
        <v>1053</v>
      </c>
      <c r="E227" t="s">
        <v>1119</v>
      </c>
      <c r="F227">
        <v>54</v>
      </c>
      <c r="G227">
        <v>1973</v>
      </c>
      <c r="H227">
        <v>289</v>
      </c>
      <c r="I227">
        <v>10</v>
      </c>
      <c r="J227">
        <v>556.47199999999998</v>
      </c>
      <c r="K227">
        <v>173</v>
      </c>
    </row>
    <row r="228" spans="1:11" x14ac:dyDescent="0.25">
      <c r="A228">
        <v>14011</v>
      </c>
      <c r="B228" t="s">
        <v>215</v>
      </c>
      <c r="C228" t="s">
        <v>39</v>
      </c>
      <c r="D228" t="s">
        <v>1048</v>
      </c>
      <c r="E228" t="s">
        <v>52</v>
      </c>
      <c r="F228">
        <v>16</v>
      </c>
      <c r="G228">
        <v>2001</v>
      </c>
      <c r="H228">
        <v>723</v>
      </c>
      <c r="I228">
        <v>0</v>
      </c>
      <c r="J228">
        <v>0</v>
      </c>
      <c r="K228">
        <v>0</v>
      </c>
    </row>
    <row r="229" spans="1:11" x14ac:dyDescent="0.25">
      <c r="A229">
        <v>24240</v>
      </c>
      <c r="B229" t="s">
        <v>215</v>
      </c>
      <c r="C229" t="s">
        <v>16</v>
      </c>
      <c r="E229" t="s">
        <v>678</v>
      </c>
      <c r="F229">
        <v>17</v>
      </c>
      <c r="G229">
        <v>1976</v>
      </c>
      <c r="H229">
        <v>31</v>
      </c>
      <c r="I229">
        <v>44.375</v>
      </c>
      <c r="J229">
        <v>2941.5740000000001</v>
      </c>
      <c r="K229">
        <v>914</v>
      </c>
    </row>
    <row r="230" spans="1:11" x14ac:dyDescent="0.25">
      <c r="A230">
        <v>15063</v>
      </c>
      <c r="B230" t="s">
        <v>1511</v>
      </c>
      <c r="C230" t="s">
        <v>112</v>
      </c>
      <c r="D230" t="s">
        <v>139</v>
      </c>
      <c r="E230" t="s">
        <v>1172</v>
      </c>
      <c r="F230">
        <v>24</v>
      </c>
      <c r="G230">
        <v>2015</v>
      </c>
      <c r="H230">
        <v>580</v>
      </c>
      <c r="I230">
        <v>1.3129999999999999</v>
      </c>
      <c r="J230">
        <v>54.720999999999997</v>
      </c>
      <c r="K230">
        <v>0</v>
      </c>
    </row>
    <row r="231" spans="1:11" x14ac:dyDescent="0.25">
      <c r="A231">
        <v>98373</v>
      </c>
      <c r="B231" t="s">
        <v>1511</v>
      </c>
      <c r="C231" t="s">
        <v>580</v>
      </c>
      <c r="D231" t="s">
        <v>1053</v>
      </c>
      <c r="E231" t="s">
        <v>1172</v>
      </c>
      <c r="F231">
        <v>24</v>
      </c>
      <c r="G231">
        <v>1985</v>
      </c>
      <c r="H231">
        <v>99</v>
      </c>
      <c r="I231">
        <v>22.594000000000001</v>
      </c>
      <c r="J231">
        <v>1939.9490000000001</v>
      </c>
      <c r="K231">
        <v>874</v>
      </c>
    </row>
    <row r="232" spans="1:11" x14ac:dyDescent="0.25">
      <c r="A232">
        <v>28038</v>
      </c>
      <c r="B232" t="s">
        <v>216</v>
      </c>
      <c r="C232" t="s">
        <v>109</v>
      </c>
      <c r="D232" t="s">
        <v>1053</v>
      </c>
      <c r="E232" t="s">
        <v>680</v>
      </c>
      <c r="F232">
        <v>19</v>
      </c>
      <c r="G232">
        <v>1954</v>
      </c>
      <c r="H232">
        <v>244</v>
      </c>
      <c r="I232">
        <v>10.195</v>
      </c>
      <c r="J232">
        <v>743.50900000000001</v>
      </c>
      <c r="K232">
        <v>331</v>
      </c>
    </row>
    <row r="233" spans="1:11" x14ac:dyDescent="0.25">
      <c r="A233">
        <v>25085</v>
      </c>
      <c r="B233" t="s">
        <v>217</v>
      </c>
      <c r="C233" t="s">
        <v>218</v>
      </c>
      <c r="E233" t="s">
        <v>31</v>
      </c>
      <c r="F233">
        <v>29</v>
      </c>
      <c r="G233">
        <v>1961</v>
      </c>
      <c r="H233">
        <v>422</v>
      </c>
      <c r="I233">
        <v>2.5630000000000002</v>
      </c>
      <c r="J233">
        <v>248.358</v>
      </c>
      <c r="K233">
        <v>135</v>
      </c>
    </row>
    <row r="234" spans="1:11" x14ac:dyDescent="0.25">
      <c r="A234">
        <v>14063</v>
      </c>
      <c r="B234" t="s">
        <v>217</v>
      </c>
      <c r="C234" t="s">
        <v>195</v>
      </c>
      <c r="E234" t="s">
        <v>52</v>
      </c>
      <c r="F234">
        <v>16</v>
      </c>
      <c r="G234">
        <v>1983</v>
      </c>
      <c r="H234">
        <v>724</v>
      </c>
      <c r="I234">
        <v>0</v>
      </c>
      <c r="J234">
        <v>0</v>
      </c>
      <c r="K234">
        <v>0</v>
      </c>
    </row>
    <row r="235" spans="1:11" x14ac:dyDescent="0.25">
      <c r="A235">
        <v>13049</v>
      </c>
      <c r="B235" t="s">
        <v>1274</v>
      </c>
      <c r="C235" t="s">
        <v>67</v>
      </c>
      <c r="E235" t="s">
        <v>1164</v>
      </c>
      <c r="F235">
        <v>2</v>
      </c>
      <c r="G235">
        <v>1955</v>
      </c>
      <c r="H235">
        <v>617</v>
      </c>
      <c r="I235">
        <v>0.5</v>
      </c>
      <c r="J235">
        <v>37.969000000000001</v>
      </c>
      <c r="K235">
        <v>15</v>
      </c>
    </row>
    <row r="236" spans="1:11" x14ac:dyDescent="0.25">
      <c r="A236">
        <v>16077</v>
      </c>
      <c r="B236" t="s">
        <v>1512</v>
      </c>
      <c r="C236" t="s">
        <v>16</v>
      </c>
      <c r="E236" t="s">
        <v>1441</v>
      </c>
      <c r="F236">
        <v>84</v>
      </c>
      <c r="G236">
        <v>1953</v>
      </c>
      <c r="H236">
        <v>390</v>
      </c>
      <c r="I236">
        <v>6.3049999999999997</v>
      </c>
      <c r="J236">
        <v>294.66199999999998</v>
      </c>
      <c r="K236">
        <v>81</v>
      </c>
    </row>
    <row r="237" spans="1:11" x14ac:dyDescent="0.25">
      <c r="A237">
        <v>15020</v>
      </c>
      <c r="B237" t="s">
        <v>1513</v>
      </c>
      <c r="C237" t="s">
        <v>1462</v>
      </c>
      <c r="D237" t="s">
        <v>1053</v>
      </c>
      <c r="E237" t="s">
        <v>1116</v>
      </c>
      <c r="F237">
        <v>20</v>
      </c>
      <c r="G237">
        <v>1984</v>
      </c>
      <c r="H237">
        <v>180</v>
      </c>
      <c r="I237">
        <v>17.312999999999999</v>
      </c>
      <c r="J237">
        <v>1200.9169999999999</v>
      </c>
      <c r="K237">
        <v>505</v>
      </c>
    </row>
    <row r="238" spans="1:11" x14ac:dyDescent="0.25">
      <c r="A238">
        <v>16112</v>
      </c>
      <c r="B238" t="s">
        <v>219</v>
      </c>
      <c r="C238" t="s">
        <v>60</v>
      </c>
      <c r="D238" t="s">
        <v>1053</v>
      </c>
      <c r="E238" t="s">
        <v>1176</v>
      </c>
      <c r="F238">
        <v>42</v>
      </c>
      <c r="G238">
        <v>1963</v>
      </c>
      <c r="H238">
        <v>501</v>
      </c>
      <c r="I238">
        <v>1.4530000000000001</v>
      </c>
      <c r="J238">
        <v>134.39599999999999</v>
      </c>
      <c r="K238">
        <v>73</v>
      </c>
    </row>
    <row r="239" spans="1:11" x14ac:dyDescent="0.25">
      <c r="A239">
        <v>10108</v>
      </c>
      <c r="B239" t="s">
        <v>219</v>
      </c>
      <c r="C239" t="s">
        <v>171</v>
      </c>
      <c r="D239" t="s">
        <v>1053</v>
      </c>
      <c r="E239" t="s">
        <v>1167</v>
      </c>
      <c r="F239">
        <v>70</v>
      </c>
      <c r="G239">
        <v>1935</v>
      </c>
      <c r="H239">
        <v>725</v>
      </c>
      <c r="I239">
        <v>0</v>
      </c>
      <c r="J239">
        <v>0</v>
      </c>
      <c r="K239">
        <v>0</v>
      </c>
    </row>
    <row r="240" spans="1:11" x14ac:dyDescent="0.25">
      <c r="A240">
        <v>96135</v>
      </c>
      <c r="B240" t="s">
        <v>220</v>
      </c>
      <c r="C240" t="s">
        <v>51</v>
      </c>
      <c r="D240" t="s">
        <v>1053</v>
      </c>
      <c r="E240" t="s">
        <v>1131</v>
      </c>
      <c r="F240">
        <v>7</v>
      </c>
      <c r="G240">
        <v>1975</v>
      </c>
      <c r="H240">
        <v>726</v>
      </c>
      <c r="I240">
        <v>0</v>
      </c>
      <c r="J240">
        <v>0</v>
      </c>
      <c r="K240">
        <v>0</v>
      </c>
    </row>
    <row r="241" spans="1:11" x14ac:dyDescent="0.25">
      <c r="A241">
        <v>12057</v>
      </c>
      <c r="B241" t="s">
        <v>220</v>
      </c>
      <c r="C241" t="s">
        <v>156</v>
      </c>
      <c r="D241" t="s">
        <v>1053</v>
      </c>
      <c r="E241" t="s">
        <v>1149</v>
      </c>
      <c r="F241">
        <v>57</v>
      </c>
      <c r="G241">
        <v>1984</v>
      </c>
      <c r="H241">
        <v>316</v>
      </c>
      <c r="I241">
        <v>6.8440000000000003</v>
      </c>
      <c r="J241">
        <v>498.24799999999999</v>
      </c>
      <c r="K241">
        <v>234</v>
      </c>
    </row>
    <row r="242" spans="1:11" x14ac:dyDescent="0.25">
      <c r="A242">
        <v>15060</v>
      </c>
      <c r="B242" t="s">
        <v>1514</v>
      </c>
      <c r="C242" t="s">
        <v>46</v>
      </c>
      <c r="E242" t="s">
        <v>1176</v>
      </c>
      <c r="F242">
        <v>42</v>
      </c>
      <c r="G242">
        <v>1955</v>
      </c>
      <c r="H242">
        <v>120</v>
      </c>
      <c r="I242">
        <v>21.391999999999999</v>
      </c>
      <c r="J242">
        <v>1737.9190000000001</v>
      </c>
      <c r="K242">
        <v>827</v>
      </c>
    </row>
    <row r="243" spans="1:11" x14ac:dyDescent="0.25">
      <c r="A243">
        <v>12035</v>
      </c>
      <c r="B243" t="s">
        <v>221</v>
      </c>
      <c r="C243" t="s">
        <v>101</v>
      </c>
      <c r="D243" t="s">
        <v>1053</v>
      </c>
      <c r="E243" t="s">
        <v>58</v>
      </c>
      <c r="F243">
        <v>73</v>
      </c>
      <c r="G243">
        <v>1945</v>
      </c>
      <c r="H243">
        <v>275</v>
      </c>
      <c r="I243">
        <v>10.250999999999999</v>
      </c>
      <c r="J243">
        <v>614.952</v>
      </c>
      <c r="K243">
        <v>194</v>
      </c>
    </row>
    <row r="244" spans="1:11" x14ac:dyDescent="0.25">
      <c r="A244">
        <v>28051</v>
      </c>
      <c r="B244" t="s">
        <v>222</v>
      </c>
      <c r="C244" t="s">
        <v>223</v>
      </c>
      <c r="E244" t="s">
        <v>680</v>
      </c>
      <c r="F244">
        <v>19</v>
      </c>
      <c r="G244">
        <v>1963</v>
      </c>
      <c r="H244">
        <v>157</v>
      </c>
      <c r="I244">
        <v>17.390999999999998</v>
      </c>
      <c r="J244">
        <v>1380.037</v>
      </c>
      <c r="K244">
        <v>624</v>
      </c>
    </row>
    <row r="245" spans="1:11" x14ac:dyDescent="0.25">
      <c r="A245">
        <v>25003</v>
      </c>
      <c r="B245" t="s">
        <v>224</v>
      </c>
      <c r="C245" t="s">
        <v>225</v>
      </c>
      <c r="D245" t="s">
        <v>1053</v>
      </c>
      <c r="E245" t="s">
        <v>1119</v>
      </c>
      <c r="F245">
        <v>54</v>
      </c>
      <c r="G245">
        <v>1973</v>
      </c>
      <c r="H245">
        <v>44</v>
      </c>
      <c r="I245">
        <v>28.875</v>
      </c>
      <c r="J245">
        <v>2759.6179999999999</v>
      </c>
      <c r="K245">
        <v>1502</v>
      </c>
    </row>
    <row r="246" spans="1:11" x14ac:dyDescent="0.25">
      <c r="A246">
        <v>13065</v>
      </c>
      <c r="B246" t="s">
        <v>1313</v>
      </c>
      <c r="C246" t="s">
        <v>73</v>
      </c>
      <c r="E246" t="s">
        <v>65</v>
      </c>
      <c r="F246">
        <v>67</v>
      </c>
      <c r="G246">
        <v>1961</v>
      </c>
      <c r="H246">
        <v>727</v>
      </c>
      <c r="I246">
        <v>0</v>
      </c>
      <c r="J246">
        <v>0</v>
      </c>
      <c r="K246">
        <v>0</v>
      </c>
    </row>
    <row r="247" spans="1:11" x14ac:dyDescent="0.25">
      <c r="A247">
        <v>16017</v>
      </c>
      <c r="B247" t="s">
        <v>1515</v>
      </c>
      <c r="C247" t="s">
        <v>166</v>
      </c>
      <c r="D247" t="s">
        <v>1048</v>
      </c>
      <c r="E247" t="s">
        <v>1119</v>
      </c>
      <c r="F247">
        <v>54</v>
      </c>
      <c r="G247">
        <v>2007</v>
      </c>
      <c r="H247">
        <v>483</v>
      </c>
      <c r="I247">
        <v>3.2109999999999999</v>
      </c>
      <c r="J247">
        <v>160.327</v>
      </c>
      <c r="K247">
        <v>20</v>
      </c>
    </row>
    <row r="248" spans="1:11" x14ac:dyDescent="0.25">
      <c r="A248">
        <v>10079</v>
      </c>
      <c r="B248" t="s">
        <v>226</v>
      </c>
      <c r="C248" t="s">
        <v>227</v>
      </c>
      <c r="E248" t="s">
        <v>1134</v>
      </c>
      <c r="F248">
        <v>69</v>
      </c>
      <c r="G248">
        <v>1951</v>
      </c>
      <c r="H248">
        <v>225</v>
      </c>
      <c r="I248">
        <v>8.907</v>
      </c>
      <c r="J248">
        <v>855.774</v>
      </c>
      <c r="K248">
        <v>460</v>
      </c>
    </row>
    <row r="249" spans="1:11" x14ac:dyDescent="0.25">
      <c r="A249">
        <v>15044</v>
      </c>
      <c r="B249" t="s">
        <v>1516</v>
      </c>
      <c r="C249" t="s">
        <v>517</v>
      </c>
      <c r="D249" t="s">
        <v>1053</v>
      </c>
      <c r="E249" t="s">
        <v>1167</v>
      </c>
      <c r="F249">
        <v>70</v>
      </c>
      <c r="G249">
        <v>1946</v>
      </c>
      <c r="H249">
        <v>630</v>
      </c>
      <c r="I249">
        <v>0.71899999999999997</v>
      </c>
      <c r="J249">
        <v>31.408999999999999</v>
      </c>
      <c r="K249">
        <v>0</v>
      </c>
    </row>
    <row r="250" spans="1:11" x14ac:dyDescent="0.25">
      <c r="A250">
        <v>96109</v>
      </c>
      <c r="B250" t="s">
        <v>229</v>
      </c>
      <c r="C250" t="s">
        <v>78</v>
      </c>
      <c r="E250" t="s">
        <v>230</v>
      </c>
      <c r="F250">
        <v>10</v>
      </c>
      <c r="G250">
        <v>1959</v>
      </c>
      <c r="H250">
        <v>606</v>
      </c>
      <c r="I250">
        <v>2</v>
      </c>
      <c r="J250">
        <v>41.98</v>
      </c>
      <c r="K250">
        <v>0</v>
      </c>
    </row>
    <row r="251" spans="1:11" x14ac:dyDescent="0.25">
      <c r="A251">
        <v>22982</v>
      </c>
      <c r="B251" t="s">
        <v>231</v>
      </c>
      <c r="C251" t="s">
        <v>64</v>
      </c>
      <c r="E251" t="s">
        <v>1123</v>
      </c>
      <c r="F251">
        <v>27</v>
      </c>
      <c r="G251">
        <v>1964</v>
      </c>
      <c r="H251">
        <v>460</v>
      </c>
      <c r="I251">
        <v>5.1559999999999997</v>
      </c>
      <c r="J251">
        <v>195.95400000000001</v>
      </c>
      <c r="K251">
        <v>85</v>
      </c>
    </row>
    <row r="252" spans="1:11" x14ac:dyDescent="0.25">
      <c r="A252">
        <v>99559</v>
      </c>
      <c r="B252" t="s">
        <v>231</v>
      </c>
      <c r="C252" t="s">
        <v>72</v>
      </c>
      <c r="E252" t="s">
        <v>52</v>
      </c>
      <c r="F252">
        <v>16</v>
      </c>
      <c r="G252">
        <v>1988</v>
      </c>
      <c r="H252">
        <v>366</v>
      </c>
      <c r="I252">
        <v>5</v>
      </c>
      <c r="J252">
        <v>374.83</v>
      </c>
      <c r="K252">
        <v>147</v>
      </c>
    </row>
    <row r="253" spans="1:11" x14ac:dyDescent="0.25">
      <c r="A253">
        <v>23100</v>
      </c>
      <c r="B253" t="s">
        <v>232</v>
      </c>
      <c r="C253" t="s">
        <v>46</v>
      </c>
      <c r="E253" t="s">
        <v>107</v>
      </c>
      <c r="F253">
        <v>45</v>
      </c>
      <c r="G253">
        <v>1960</v>
      </c>
      <c r="H253">
        <v>728</v>
      </c>
      <c r="I253">
        <v>0</v>
      </c>
      <c r="J253">
        <v>0</v>
      </c>
      <c r="K253">
        <v>0</v>
      </c>
    </row>
    <row r="254" spans="1:11" x14ac:dyDescent="0.25">
      <c r="A254">
        <v>23101</v>
      </c>
      <c r="B254" t="s">
        <v>233</v>
      </c>
      <c r="C254" t="s">
        <v>234</v>
      </c>
      <c r="D254" t="s">
        <v>1053</v>
      </c>
      <c r="E254" t="s">
        <v>107</v>
      </c>
      <c r="F254">
        <v>45</v>
      </c>
      <c r="G254">
        <v>1963</v>
      </c>
      <c r="H254">
        <v>729</v>
      </c>
      <c r="I254">
        <v>0</v>
      </c>
      <c r="J254">
        <v>0</v>
      </c>
      <c r="K254">
        <v>0</v>
      </c>
    </row>
    <row r="255" spans="1:11" x14ac:dyDescent="0.25">
      <c r="A255">
        <v>16023</v>
      </c>
      <c r="B255" t="s">
        <v>1518</v>
      </c>
      <c r="C255" t="s">
        <v>1519</v>
      </c>
      <c r="E255" t="s">
        <v>1123</v>
      </c>
      <c r="F255">
        <v>27</v>
      </c>
      <c r="G255">
        <v>1966</v>
      </c>
      <c r="H255">
        <v>402</v>
      </c>
      <c r="I255">
        <v>3.875</v>
      </c>
      <c r="J255">
        <v>267.39699999999999</v>
      </c>
      <c r="K255">
        <v>95</v>
      </c>
    </row>
    <row r="256" spans="1:11" x14ac:dyDescent="0.25">
      <c r="A256">
        <v>15085</v>
      </c>
      <c r="B256" t="s">
        <v>1520</v>
      </c>
      <c r="C256" t="s">
        <v>80</v>
      </c>
      <c r="E256" t="s">
        <v>1164</v>
      </c>
      <c r="F256">
        <v>2</v>
      </c>
      <c r="G256">
        <v>1996</v>
      </c>
      <c r="H256">
        <v>577</v>
      </c>
      <c r="I256">
        <v>2.1880000000000002</v>
      </c>
      <c r="J256">
        <v>56.512</v>
      </c>
      <c r="K256">
        <v>0</v>
      </c>
    </row>
    <row r="257" spans="1:11" x14ac:dyDescent="0.25">
      <c r="A257">
        <v>27041</v>
      </c>
      <c r="B257" t="s">
        <v>235</v>
      </c>
      <c r="C257" t="s">
        <v>80</v>
      </c>
      <c r="E257" t="s">
        <v>680</v>
      </c>
      <c r="F257">
        <v>19</v>
      </c>
      <c r="G257">
        <v>1957</v>
      </c>
      <c r="H257">
        <v>730</v>
      </c>
      <c r="I257">
        <v>0</v>
      </c>
      <c r="J257">
        <v>0</v>
      </c>
      <c r="K257">
        <v>0</v>
      </c>
    </row>
    <row r="258" spans="1:11" x14ac:dyDescent="0.25">
      <c r="A258">
        <v>10109</v>
      </c>
      <c r="B258" t="s">
        <v>236</v>
      </c>
      <c r="C258" t="s">
        <v>34</v>
      </c>
      <c r="E258" t="s">
        <v>1167</v>
      </c>
      <c r="F258">
        <v>70</v>
      </c>
      <c r="G258">
        <v>1947</v>
      </c>
      <c r="H258">
        <v>731</v>
      </c>
      <c r="I258">
        <v>0</v>
      </c>
      <c r="J258">
        <v>0</v>
      </c>
      <c r="K258">
        <v>0</v>
      </c>
    </row>
    <row r="259" spans="1:11" x14ac:dyDescent="0.25">
      <c r="A259">
        <v>10110</v>
      </c>
      <c r="B259" t="s">
        <v>237</v>
      </c>
      <c r="C259" t="s">
        <v>122</v>
      </c>
      <c r="D259" t="s">
        <v>1053</v>
      </c>
      <c r="E259" t="s">
        <v>1167</v>
      </c>
      <c r="F259">
        <v>70</v>
      </c>
      <c r="G259">
        <v>1925</v>
      </c>
      <c r="H259">
        <v>633</v>
      </c>
      <c r="I259">
        <v>0.70299999999999996</v>
      </c>
      <c r="J259">
        <v>30.725999999999999</v>
      </c>
      <c r="K259">
        <v>0</v>
      </c>
    </row>
    <row r="260" spans="1:11" x14ac:dyDescent="0.25">
      <c r="A260">
        <v>21934</v>
      </c>
      <c r="B260" t="s">
        <v>238</v>
      </c>
      <c r="C260" t="s">
        <v>72</v>
      </c>
      <c r="E260" t="s">
        <v>52</v>
      </c>
      <c r="F260">
        <v>16</v>
      </c>
      <c r="G260">
        <v>1970</v>
      </c>
      <c r="H260">
        <v>599</v>
      </c>
      <c r="I260">
        <v>2.25</v>
      </c>
      <c r="J260">
        <v>47.228000000000002</v>
      </c>
      <c r="K260">
        <v>0</v>
      </c>
    </row>
    <row r="261" spans="1:11" x14ac:dyDescent="0.25">
      <c r="A261">
        <v>15051</v>
      </c>
      <c r="B261" t="s">
        <v>1521</v>
      </c>
      <c r="C261" t="s">
        <v>57</v>
      </c>
      <c r="E261" t="s">
        <v>696</v>
      </c>
      <c r="F261">
        <v>33</v>
      </c>
      <c r="G261">
        <v>1953</v>
      </c>
      <c r="H261">
        <v>635</v>
      </c>
      <c r="I261">
        <v>0.75</v>
      </c>
      <c r="J261">
        <v>30.585999999999999</v>
      </c>
      <c r="K261">
        <v>0</v>
      </c>
    </row>
    <row r="262" spans="1:11" x14ac:dyDescent="0.25">
      <c r="A262">
        <v>27045</v>
      </c>
      <c r="B262" t="s">
        <v>239</v>
      </c>
      <c r="C262" t="s">
        <v>67</v>
      </c>
      <c r="E262" t="s">
        <v>1094</v>
      </c>
      <c r="F262">
        <v>43</v>
      </c>
      <c r="G262">
        <v>1980</v>
      </c>
      <c r="H262">
        <v>575</v>
      </c>
      <c r="I262">
        <v>0.77300000000000002</v>
      </c>
      <c r="J262">
        <v>57.411999999999999</v>
      </c>
      <c r="K262">
        <v>20</v>
      </c>
    </row>
    <row r="263" spans="1:11" x14ac:dyDescent="0.25">
      <c r="A263">
        <v>21777</v>
      </c>
      <c r="B263" t="s">
        <v>239</v>
      </c>
      <c r="C263" t="s">
        <v>78</v>
      </c>
      <c r="E263" t="s">
        <v>678</v>
      </c>
      <c r="F263">
        <v>17</v>
      </c>
      <c r="G263">
        <v>1975</v>
      </c>
      <c r="H263">
        <v>238</v>
      </c>
      <c r="I263">
        <v>8.6880000000000006</v>
      </c>
      <c r="J263">
        <v>777.29100000000005</v>
      </c>
      <c r="K263">
        <v>380</v>
      </c>
    </row>
    <row r="264" spans="1:11" x14ac:dyDescent="0.25">
      <c r="A264">
        <v>23055</v>
      </c>
      <c r="B264" t="s">
        <v>240</v>
      </c>
      <c r="C264" t="s">
        <v>194</v>
      </c>
      <c r="D264" t="s">
        <v>1053</v>
      </c>
      <c r="E264" t="s">
        <v>1094</v>
      </c>
      <c r="F264">
        <v>43</v>
      </c>
      <c r="G264">
        <v>1977</v>
      </c>
      <c r="H264">
        <v>576</v>
      </c>
      <c r="I264">
        <v>0.77300000000000002</v>
      </c>
      <c r="J264">
        <v>57.411999999999999</v>
      </c>
      <c r="K264">
        <v>20</v>
      </c>
    </row>
    <row r="265" spans="1:11" x14ac:dyDescent="0.25">
      <c r="A265">
        <v>24221</v>
      </c>
      <c r="B265" t="s">
        <v>1522</v>
      </c>
      <c r="C265" t="s">
        <v>20</v>
      </c>
      <c r="D265" t="s">
        <v>1053</v>
      </c>
      <c r="E265" t="s">
        <v>1162</v>
      </c>
      <c r="F265">
        <v>51</v>
      </c>
      <c r="G265">
        <v>1969</v>
      </c>
      <c r="H265">
        <v>732</v>
      </c>
      <c r="I265">
        <v>0</v>
      </c>
      <c r="J265">
        <v>0</v>
      </c>
      <c r="K265">
        <v>0</v>
      </c>
    </row>
    <row r="266" spans="1:11" x14ac:dyDescent="0.25">
      <c r="A266">
        <v>26061</v>
      </c>
      <c r="B266" t="s">
        <v>241</v>
      </c>
      <c r="C266" t="s">
        <v>67</v>
      </c>
      <c r="E266" t="s">
        <v>1123</v>
      </c>
      <c r="F266">
        <v>27</v>
      </c>
      <c r="G266">
        <v>1957</v>
      </c>
      <c r="H266">
        <v>182</v>
      </c>
      <c r="I266">
        <v>14.438000000000001</v>
      </c>
      <c r="J266">
        <v>1186.278</v>
      </c>
      <c r="K266">
        <v>518</v>
      </c>
    </row>
    <row r="267" spans="1:11" x14ac:dyDescent="0.25">
      <c r="A267">
        <v>16064</v>
      </c>
      <c r="B267" t="s">
        <v>1523</v>
      </c>
      <c r="C267" t="s">
        <v>96</v>
      </c>
      <c r="E267" t="s">
        <v>1524</v>
      </c>
      <c r="F267">
        <v>83</v>
      </c>
      <c r="G267">
        <v>1972</v>
      </c>
      <c r="H267">
        <v>602</v>
      </c>
      <c r="I267">
        <v>1</v>
      </c>
      <c r="J267">
        <v>45.026000000000003</v>
      </c>
      <c r="K267">
        <v>0</v>
      </c>
    </row>
    <row r="268" spans="1:11" x14ac:dyDescent="0.25">
      <c r="A268">
        <v>16065</v>
      </c>
      <c r="B268" t="s">
        <v>1523</v>
      </c>
      <c r="C268" t="s">
        <v>195</v>
      </c>
      <c r="E268" t="s">
        <v>1524</v>
      </c>
      <c r="F268">
        <v>83</v>
      </c>
      <c r="G268">
        <v>1977</v>
      </c>
      <c r="H268">
        <v>492</v>
      </c>
      <c r="I268">
        <v>4.8360000000000003</v>
      </c>
      <c r="J268">
        <v>142.846</v>
      </c>
      <c r="K268">
        <v>20</v>
      </c>
    </row>
    <row r="269" spans="1:11" x14ac:dyDescent="0.25">
      <c r="A269">
        <v>10111</v>
      </c>
      <c r="B269" t="s">
        <v>242</v>
      </c>
      <c r="C269" t="s">
        <v>137</v>
      </c>
      <c r="D269" t="s">
        <v>1053</v>
      </c>
      <c r="E269" t="s">
        <v>1167</v>
      </c>
      <c r="F269">
        <v>70</v>
      </c>
      <c r="G269">
        <v>1944</v>
      </c>
      <c r="H269">
        <v>733</v>
      </c>
      <c r="I269">
        <v>0</v>
      </c>
      <c r="J269">
        <v>0</v>
      </c>
      <c r="K269">
        <v>0</v>
      </c>
    </row>
    <row r="270" spans="1:11" x14ac:dyDescent="0.25">
      <c r="A270">
        <v>29053</v>
      </c>
      <c r="B270" t="s">
        <v>243</v>
      </c>
      <c r="C270" t="s">
        <v>54</v>
      </c>
      <c r="E270" t="s">
        <v>1142</v>
      </c>
      <c r="F270">
        <v>64</v>
      </c>
      <c r="G270">
        <v>1975</v>
      </c>
      <c r="H270">
        <v>413</v>
      </c>
      <c r="I270">
        <v>4.5019999999999998</v>
      </c>
      <c r="J270">
        <v>258.08199999999999</v>
      </c>
      <c r="K270">
        <v>66</v>
      </c>
    </row>
    <row r="271" spans="1:11" x14ac:dyDescent="0.25">
      <c r="A271">
        <v>98465</v>
      </c>
      <c r="B271" t="s">
        <v>244</v>
      </c>
      <c r="C271" t="s">
        <v>24</v>
      </c>
      <c r="E271" t="s">
        <v>1138</v>
      </c>
      <c r="F271">
        <v>21</v>
      </c>
      <c r="G271">
        <v>1975</v>
      </c>
      <c r="H271">
        <v>137</v>
      </c>
      <c r="I271">
        <v>20.187999999999999</v>
      </c>
      <c r="J271">
        <v>1575.953</v>
      </c>
      <c r="K271">
        <v>668</v>
      </c>
    </row>
    <row r="272" spans="1:11" x14ac:dyDescent="0.25">
      <c r="A272">
        <v>10138</v>
      </c>
      <c r="B272" t="s">
        <v>244</v>
      </c>
      <c r="C272" t="s">
        <v>245</v>
      </c>
      <c r="D272" t="s">
        <v>1048</v>
      </c>
      <c r="E272" t="s">
        <v>1138</v>
      </c>
      <c r="F272">
        <v>21</v>
      </c>
      <c r="G272">
        <v>2003</v>
      </c>
      <c r="H272">
        <v>174</v>
      </c>
      <c r="I272">
        <v>16.032</v>
      </c>
      <c r="J272">
        <v>1251.3810000000001</v>
      </c>
      <c r="K272">
        <v>565</v>
      </c>
    </row>
    <row r="273" spans="1:11" x14ac:dyDescent="0.25">
      <c r="A273">
        <v>96044</v>
      </c>
      <c r="B273" t="s">
        <v>244</v>
      </c>
      <c r="C273" t="s">
        <v>160</v>
      </c>
      <c r="E273" t="s">
        <v>1138</v>
      </c>
      <c r="F273">
        <v>21</v>
      </c>
      <c r="G273">
        <v>1934</v>
      </c>
      <c r="H273">
        <v>734</v>
      </c>
      <c r="I273">
        <v>0</v>
      </c>
      <c r="J273">
        <v>0</v>
      </c>
      <c r="K273">
        <v>0</v>
      </c>
    </row>
    <row r="274" spans="1:11" x14ac:dyDescent="0.25">
      <c r="A274">
        <v>24315</v>
      </c>
      <c r="B274" t="s">
        <v>247</v>
      </c>
      <c r="C274" t="s">
        <v>248</v>
      </c>
      <c r="D274" t="s">
        <v>1053</v>
      </c>
      <c r="E274" t="s">
        <v>1138</v>
      </c>
      <c r="F274">
        <v>21</v>
      </c>
      <c r="G274">
        <v>1995</v>
      </c>
      <c r="H274">
        <v>213</v>
      </c>
      <c r="I274">
        <v>14.438000000000001</v>
      </c>
      <c r="J274">
        <v>950.89400000000001</v>
      </c>
      <c r="K274">
        <v>292</v>
      </c>
    </row>
    <row r="275" spans="1:11" x14ac:dyDescent="0.25">
      <c r="A275">
        <v>16101</v>
      </c>
      <c r="B275" t="s">
        <v>247</v>
      </c>
      <c r="C275" t="s">
        <v>1525</v>
      </c>
      <c r="D275" t="s">
        <v>1053</v>
      </c>
      <c r="E275" t="s">
        <v>1441</v>
      </c>
      <c r="F275">
        <v>84</v>
      </c>
      <c r="G275">
        <v>1954</v>
      </c>
      <c r="H275">
        <v>735</v>
      </c>
      <c r="I275">
        <v>0</v>
      </c>
      <c r="J275">
        <v>0</v>
      </c>
      <c r="K275">
        <v>0</v>
      </c>
    </row>
    <row r="276" spans="1:11" x14ac:dyDescent="0.25">
      <c r="A276">
        <v>20676</v>
      </c>
      <c r="B276" t="s">
        <v>247</v>
      </c>
      <c r="C276" t="s">
        <v>249</v>
      </c>
      <c r="D276" t="s">
        <v>1053</v>
      </c>
      <c r="E276" t="s">
        <v>1138</v>
      </c>
      <c r="F276">
        <v>21</v>
      </c>
      <c r="G276">
        <v>1973</v>
      </c>
      <c r="H276">
        <v>183</v>
      </c>
      <c r="I276">
        <v>15.625999999999999</v>
      </c>
      <c r="J276">
        <v>1179.768</v>
      </c>
      <c r="K276">
        <v>497</v>
      </c>
    </row>
    <row r="277" spans="1:11" x14ac:dyDescent="0.25">
      <c r="A277">
        <v>24239</v>
      </c>
      <c r="B277" t="s">
        <v>247</v>
      </c>
      <c r="C277" t="s">
        <v>170</v>
      </c>
      <c r="D277" t="s">
        <v>1053</v>
      </c>
      <c r="E277" t="s">
        <v>678</v>
      </c>
      <c r="F277">
        <v>17</v>
      </c>
      <c r="G277">
        <v>1975</v>
      </c>
      <c r="H277">
        <v>595</v>
      </c>
      <c r="I277">
        <v>1.125</v>
      </c>
      <c r="J277">
        <v>49.908000000000001</v>
      </c>
      <c r="K277">
        <v>0</v>
      </c>
    </row>
    <row r="278" spans="1:11" x14ac:dyDescent="0.25">
      <c r="A278">
        <v>15082</v>
      </c>
      <c r="B278" t="s">
        <v>1526</v>
      </c>
      <c r="C278" t="s">
        <v>105</v>
      </c>
      <c r="E278" t="s">
        <v>1164</v>
      </c>
      <c r="F278">
        <v>2</v>
      </c>
      <c r="G278">
        <v>1956</v>
      </c>
      <c r="H278">
        <v>496</v>
      </c>
      <c r="I278">
        <v>3.5</v>
      </c>
      <c r="J278">
        <v>137.24199999999999</v>
      </c>
      <c r="K278">
        <v>51</v>
      </c>
    </row>
    <row r="279" spans="1:11" x14ac:dyDescent="0.25">
      <c r="A279">
        <v>14037</v>
      </c>
      <c r="B279" t="s">
        <v>1527</v>
      </c>
      <c r="C279" t="s">
        <v>223</v>
      </c>
      <c r="E279" t="s">
        <v>1170</v>
      </c>
      <c r="F279">
        <v>55</v>
      </c>
      <c r="G279">
        <v>1959</v>
      </c>
      <c r="H279">
        <v>243</v>
      </c>
      <c r="I279">
        <v>6.8609999999999998</v>
      </c>
      <c r="J279">
        <v>753.64800000000002</v>
      </c>
      <c r="K279">
        <v>438</v>
      </c>
    </row>
    <row r="280" spans="1:11" x14ac:dyDescent="0.25">
      <c r="A280">
        <v>16024</v>
      </c>
      <c r="B280" t="s">
        <v>1528</v>
      </c>
      <c r="C280" t="s">
        <v>1529</v>
      </c>
      <c r="D280" t="s">
        <v>1053</v>
      </c>
      <c r="E280" t="s">
        <v>1399</v>
      </c>
      <c r="F280">
        <v>78</v>
      </c>
      <c r="G280">
        <v>1967</v>
      </c>
      <c r="H280">
        <v>389</v>
      </c>
      <c r="I280">
        <v>2.2189999999999999</v>
      </c>
      <c r="J280">
        <v>295.94299999999998</v>
      </c>
      <c r="K280">
        <v>186</v>
      </c>
    </row>
    <row r="281" spans="1:11" x14ac:dyDescent="0.25">
      <c r="A281">
        <v>11044</v>
      </c>
      <c r="B281" t="s">
        <v>250</v>
      </c>
      <c r="C281" t="s">
        <v>78</v>
      </c>
      <c r="E281" t="s">
        <v>1164</v>
      </c>
      <c r="F281">
        <v>2</v>
      </c>
      <c r="G281">
        <v>1941</v>
      </c>
      <c r="H281">
        <v>278</v>
      </c>
      <c r="I281">
        <v>9</v>
      </c>
      <c r="J281">
        <v>610.47</v>
      </c>
      <c r="K281">
        <v>227</v>
      </c>
    </row>
    <row r="282" spans="1:11" x14ac:dyDescent="0.25">
      <c r="A282">
        <v>99591</v>
      </c>
      <c r="B282" t="s">
        <v>251</v>
      </c>
      <c r="C282" t="s">
        <v>72</v>
      </c>
      <c r="E282" t="s">
        <v>680</v>
      </c>
      <c r="F282">
        <v>19</v>
      </c>
      <c r="G282">
        <v>1961</v>
      </c>
      <c r="H282">
        <v>736</v>
      </c>
      <c r="I282">
        <v>0</v>
      </c>
      <c r="J282">
        <v>0</v>
      </c>
      <c r="K282">
        <v>0</v>
      </c>
    </row>
    <row r="283" spans="1:11" x14ac:dyDescent="0.25">
      <c r="A283">
        <v>29027</v>
      </c>
      <c r="B283" t="s">
        <v>252</v>
      </c>
      <c r="C283" t="s">
        <v>253</v>
      </c>
      <c r="E283" t="s">
        <v>1122</v>
      </c>
      <c r="F283">
        <v>63</v>
      </c>
      <c r="G283">
        <v>1953</v>
      </c>
      <c r="H283">
        <v>380</v>
      </c>
      <c r="I283">
        <v>7.1269999999999998</v>
      </c>
      <c r="J283">
        <v>323.61</v>
      </c>
      <c r="K283">
        <v>65</v>
      </c>
    </row>
    <row r="284" spans="1:11" x14ac:dyDescent="0.25">
      <c r="A284">
        <v>14057</v>
      </c>
      <c r="B284" t="s">
        <v>1530</v>
      </c>
      <c r="C284" t="s">
        <v>22</v>
      </c>
      <c r="E284" t="s">
        <v>1138</v>
      </c>
      <c r="F284">
        <v>21</v>
      </c>
      <c r="G284">
        <v>1988</v>
      </c>
      <c r="H284">
        <v>324</v>
      </c>
      <c r="I284">
        <v>6.8760000000000003</v>
      </c>
      <c r="J284">
        <v>475.04399999999998</v>
      </c>
      <c r="K284">
        <v>164</v>
      </c>
    </row>
    <row r="285" spans="1:11" x14ac:dyDescent="0.25">
      <c r="A285">
        <v>15090</v>
      </c>
      <c r="B285" t="s">
        <v>1531</v>
      </c>
      <c r="C285" t="s">
        <v>46</v>
      </c>
      <c r="E285" t="s">
        <v>107</v>
      </c>
      <c r="F285">
        <v>45</v>
      </c>
      <c r="G285">
        <v>1977</v>
      </c>
      <c r="H285">
        <v>408</v>
      </c>
      <c r="I285">
        <v>4.625</v>
      </c>
      <c r="J285">
        <v>263.733</v>
      </c>
      <c r="K285">
        <v>69</v>
      </c>
    </row>
    <row r="286" spans="1:11" x14ac:dyDescent="0.25">
      <c r="A286">
        <v>26020</v>
      </c>
      <c r="B286" t="s">
        <v>254</v>
      </c>
      <c r="C286" t="s">
        <v>24</v>
      </c>
      <c r="E286" t="s">
        <v>1182</v>
      </c>
      <c r="F286">
        <v>56</v>
      </c>
      <c r="G286">
        <v>1990</v>
      </c>
      <c r="H286">
        <v>446</v>
      </c>
      <c r="I286">
        <v>6</v>
      </c>
      <c r="J286">
        <v>219.63</v>
      </c>
      <c r="K286">
        <v>0</v>
      </c>
    </row>
    <row r="287" spans="1:11" x14ac:dyDescent="0.25">
      <c r="A287">
        <v>25055</v>
      </c>
      <c r="B287" t="s">
        <v>254</v>
      </c>
      <c r="C287" t="s">
        <v>187</v>
      </c>
      <c r="E287" t="s">
        <v>1182</v>
      </c>
      <c r="F287">
        <v>56</v>
      </c>
      <c r="G287">
        <v>1965</v>
      </c>
      <c r="H287">
        <v>34</v>
      </c>
      <c r="I287">
        <v>36.313000000000002</v>
      </c>
      <c r="J287">
        <v>2844.6689999999999</v>
      </c>
      <c r="K287">
        <v>1480</v>
      </c>
    </row>
    <row r="288" spans="1:11" x14ac:dyDescent="0.25">
      <c r="A288">
        <v>29022</v>
      </c>
      <c r="B288" t="s">
        <v>255</v>
      </c>
      <c r="C288" t="s">
        <v>256</v>
      </c>
      <c r="D288" t="s">
        <v>1053</v>
      </c>
      <c r="E288" t="s">
        <v>1182</v>
      </c>
      <c r="F288">
        <v>56</v>
      </c>
      <c r="G288">
        <v>1997</v>
      </c>
      <c r="H288">
        <v>523</v>
      </c>
      <c r="I288">
        <v>1.3129999999999999</v>
      </c>
      <c r="J288">
        <v>104.794</v>
      </c>
      <c r="K288">
        <v>49</v>
      </c>
    </row>
    <row r="289" spans="1:11" x14ac:dyDescent="0.25">
      <c r="A289">
        <v>24321</v>
      </c>
      <c r="B289" t="s">
        <v>257</v>
      </c>
      <c r="C289" t="s">
        <v>54</v>
      </c>
      <c r="E289" t="s">
        <v>678</v>
      </c>
      <c r="F289">
        <v>17</v>
      </c>
      <c r="G289">
        <v>1966</v>
      </c>
      <c r="H289">
        <v>236</v>
      </c>
      <c r="I289">
        <v>12.313000000000001</v>
      </c>
      <c r="J289">
        <v>789.05499999999995</v>
      </c>
      <c r="K289">
        <v>245</v>
      </c>
    </row>
    <row r="290" spans="1:11" x14ac:dyDescent="0.25">
      <c r="A290">
        <v>10112</v>
      </c>
      <c r="B290" t="s">
        <v>258</v>
      </c>
      <c r="C290" t="s">
        <v>259</v>
      </c>
      <c r="D290" t="s">
        <v>1053</v>
      </c>
      <c r="E290" t="s">
        <v>1167</v>
      </c>
      <c r="F290">
        <v>70</v>
      </c>
      <c r="G290">
        <v>1937</v>
      </c>
      <c r="H290">
        <v>737</v>
      </c>
      <c r="I290">
        <v>0</v>
      </c>
      <c r="J290">
        <v>0</v>
      </c>
      <c r="K290">
        <v>0</v>
      </c>
    </row>
    <row r="291" spans="1:11" x14ac:dyDescent="0.25">
      <c r="A291">
        <v>26079</v>
      </c>
      <c r="B291" t="s">
        <v>260</v>
      </c>
      <c r="C291" t="s">
        <v>15</v>
      </c>
      <c r="E291" t="s">
        <v>1164</v>
      </c>
      <c r="F291">
        <v>2</v>
      </c>
      <c r="G291">
        <v>1952</v>
      </c>
      <c r="H291">
        <v>738</v>
      </c>
      <c r="I291">
        <v>0</v>
      </c>
      <c r="J291">
        <v>0</v>
      </c>
      <c r="K291">
        <v>0</v>
      </c>
    </row>
    <row r="292" spans="1:11" x14ac:dyDescent="0.25">
      <c r="A292">
        <v>26080</v>
      </c>
      <c r="B292" t="s">
        <v>260</v>
      </c>
      <c r="C292" t="s">
        <v>16</v>
      </c>
      <c r="E292" t="s">
        <v>1164</v>
      </c>
      <c r="F292">
        <v>2</v>
      </c>
      <c r="G292">
        <v>1978</v>
      </c>
      <c r="H292">
        <v>486</v>
      </c>
      <c r="I292">
        <v>1.5</v>
      </c>
      <c r="J292">
        <v>152.90700000000001</v>
      </c>
      <c r="K292">
        <v>84</v>
      </c>
    </row>
    <row r="293" spans="1:11" x14ac:dyDescent="0.25">
      <c r="A293">
        <v>16107</v>
      </c>
      <c r="B293" t="s">
        <v>1722</v>
      </c>
      <c r="C293" t="s">
        <v>374</v>
      </c>
      <c r="E293" t="s">
        <v>1101</v>
      </c>
      <c r="F293">
        <v>14</v>
      </c>
      <c r="G293">
        <v>1993</v>
      </c>
      <c r="H293">
        <v>376</v>
      </c>
      <c r="I293">
        <v>2.5939999999999999</v>
      </c>
      <c r="J293">
        <v>327.59399999999999</v>
      </c>
      <c r="K293">
        <v>194</v>
      </c>
    </row>
    <row r="294" spans="1:11" x14ac:dyDescent="0.25">
      <c r="A294">
        <v>14084</v>
      </c>
      <c r="B294" t="s">
        <v>1532</v>
      </c>
      <c r="C294" t="s">
        <v>195</v>
      </c>
      <c r="E294" t="s">
        <v>1437</v>
      </c>
      <c r="F294">
        <v>79</v>
      </c>
      <c r="G294">
        <v>1983</v>
      </c>
      <c r="H294">
        <v>265</v>
      </c>
      <c r="I294">
        <v>8.8759999999999994</v>
      </c>
      <c r="J294">
        <v>644.97799999999995</v>
      </c>
      <c r="K294">
        <v>239</v>
      </c>
    </row>
    <row r="295" spans="1:11" x14ac:dyDescent="0.25">
      <c r="A295">
        <v>13083</v>
      </c>
      <c r="B295" t="s">
        <v>1533</v>
      </c>
      <c r="C295" t="s">
        <v>46</v>
      </c>
      <c r="E295" t="s">
        <v>1142</v>
      </c>
      <c r="F295">
        <v>64</v>
      </c>
      <c r="G295">
        <v>1952</v>
      </c>
      <c r="H295">
        <v>268</v>
      </c>
      <c r="I295">
        <v>12.439</v>
      </c>
      <c r="J295">
        <v>639.13199999999995</v>
      </c>
      <c r="K295">
        <v>144</v>
      </c>
    </row>
    <row r="296" spans="1:11" x14ac:dyDescent="0.25">
      <c r="A296">
        <v>24342</v>
      </c>
      <c r="B296" t="s">
        <v>261</v>
      </c>
      <c r="C296" t="s">
        <v>33</v>
      </c>
      <c r="E296" t="s">
        <v>127</v>
      </c>
      <c r="F296">
        <v>62</v>
      </c>
      <c r="G296">
        <v>1950</v>
      </c>
      <c r="H296">
        <v>87</v>
      </c>
      <c r="I296">
        <v>23.251000000000001</v>
      </c>
      <c r="J296">
        <v>2014.683</v>
      </c>
      <c r="K296">
        <v>1031</v>
      </c>
    </row>
    <row r="297" spans="1:11" x14ac:dyDescent="0.25">
      <c r="A297">
        <v>13060</v>
      </c>
      <c r="B297" t="s">
        <v>261</v>
      </c>
      <c r="C297" t="s">
        <v>54</v>
      </c>
      <c r="E297" t="s">
        <v>1123</v>
      </c>
      <c r="F297">
        <v>27</v>
      </c>
      <c r="G297">
        <v>1972</v>
      </c>
      <c r="H297">
        <v>113</v>
      </c>
      <c r="I297">
        <v>18.939</v>
      </c>
      <c r="J297">
        <v>1795.8689999999999</v>
      </c>
      <c r="K297">
        <v>1016</v>
      </c>
    </row>
    <row r="298" spans="1:11" x14ac:dyDescent="0.25">
      <c r="A298">
        <v>24319</v>
      </c>
      <c r="B298" t="s">
        <v>262</v>
      </c>
      <c r="C298" t="s">
        <v>33</v>
      </c>
      <c r="E298" t="s">
        <v>680</v>
      </c>
      <c r="F298">
        <v>19</v>
      </c>
      <c r="G298">
        <v>1946</v>
      </c>
      <c r="H298">
        <v>661</v>
      </c>
      <c r="I298">
        <v>0.5</v>
      </c>
      <c r="J298">
        <v>14.621</v>
      </c>
      <c r="K298">
        <v>0</v>
      </c>
    </row>
    <row r="299" spans="1:11" x14ac:dyDescent="0.25">
      <c r="A299">
        <v>96018</v>
      </c>
      <c r="B299" t="s">
        <v>263</v>
      </c>
      <c r="C299" t="s">
        <v>44</v>
      </c>
      <c r="E299" t="s">
        <v>230</v>
      </c>
      <c r="F299">
        <v>10</v>
      </c>
      <c r="G299">
        <v>1954</v>
      </c>
      <c r="H299">
        <v>739</v>
      </c>
      <c r="I299">
        <v>0</v>
      </c>
      <c r="J299">
        <v>0</v>
      </c>
      <c r="K299">
        <v>0</v>
      </c>
    </row>
    <row r="300" spans="1:11" x14ac:dyDescent="0.25">
      <c r="A300">
        <v>96019</v>
      </c>
      <c r="B300" t="s">
        <v>264</v>
      </c>
      <c r="C300" t="s">
        <v>265</v>
      </c>
      <c r="D300" t="s">
        <v>1053</v>
      </c>
      <c r="E300" t="s">
        <v>230</v>
      </c>
      <c r="F300">
        <v>10</v>
      </c>
      <c r="G300">
        <v>1955</v>
      </c>
      <c r="H300">
        <v>740</v>
      </c>
      <c r="I300">
        <v>0</v>
      </c>
      <c r="J300">
        <v>0</v>
      </c>
      <c r="K300">
        <v>0</v>
      </c>
    </row>
    <row r="301" spans="1:11" x14ac:dyDescent="0.25">
      <c r="A301">
        <v>14001</v>
      </c>
      <c r="B301" t="s">
        <v>266</v>
      </c>
      <c r="C301" t="s">
        <v>72</v>
      </c>
      <c r="D301" t="s">
        <v>1048</v>
      </c>
      <c r="E301" t="s">
        <v>1138</v>
      </c>
      <c r="F301">
        <v>21</v>
      </c>
      <c r="G301">
        <v>2004</v>
      </c>
      <c r="H301">
        <v>359</v>
      </c>
      <c r="I301">
        <v>6.867</v>
      </c>
      <c r="J301">
        <v>387.44200000000001</v>
      </c>
      <c r="K301">
        <v>105</v>
      </c>
    </row>
    <row r="302" spans="1:11" x14ac:dyDescent="0.25">
      <c r="A302">
        <v>25046</v>
      </c>
      <c r="B302" t="s">
        <v>266</v>
      </c>
      <c r="C302" t="s">
        <v>46</v>
      </c>
      <c r="E302" t="s">
        <v>1138</v>
      </c>
      <c r="F302">
        <v>21</v>
      </c>
      <c r="G302">
        <v>1977</v>
      </c>
      <c r="H302">
        <v>179</v>
      </c>
      <c r="I302">
        <v>17.515000000000001</v>
      </c>
      <c r="J302">
        <v>1203.3130000000001</v>
      </c>
      <c r="K302">
        <v>565</v>
      </c>
    </row>
    <row r="303" spans="1:11" x14ac:dyDescent="0.25">
      <c r="A303">
        <v>11032</v>
      </c>
      <c r="B303" t="s">
        <v>266</v>
      </c>
      <c r="C303" t="s">
        <v>133</v>
      </c>
      <c r="E303" t="s">
        <v>1138</v>
      </c>
      <c r="F303">
        <v>21</v>
      </c>
      <c r="G303">
        <v>1998</v>
      </c>
      <c r="H303">
        <v>219</v>
      </c>
      <c r="I303">
        <v>15.601000000000001</v>
      </c>
      <c r="J303">
        <v>909.32799999999997</v>
      </c>
      <c r="K303">
        <v>332</v>
      </c>
    </row>
    <row r="304" spans="1:11" x14ac:dyDescent="0.25">
      <c r="A304">
        <v>96045</v>
      </c>
      <c r="B304" t="s">
        <v>266</v>
      </c>
      <c r="C304" t="s">
        <v>134</v>
      </c>
      <c r="E304" t="s">
        <v>1138</v>
      </c>
      <c r="F304">
        <v>21</v>
      </c>
      <c r="G304">
        <v>1958</v>
      </c>
      <c r="H304">
        <v>89</v>
      </c>
      <c r="I304">
        <v>32.155999999999999</v>
      </c>
      <c r="J304">
        <v>2005.83</v>
      </c>
      <c r="K304">
        <v>927</v>
      </c>
    </row>
    <row r="305" spans="1:11" x14ac:dyDescent="0.25">
      <c r="A305">
        <v>96046</v>
      </c>
      <c r="B305" t="s">
        <v>266</v>
      </c>
      <c r="C305" t="s">
        <v>1534</v>
      </c>
      <c r="E305" t="s">
        <v>1138</v>
      </c>
      <c r="F305">
        <v>21</v>
      </c>
      <c r="G305">
        <v>1952</v>
      </c>
      <c r="H305">
        <v>401</v>
      </c>
      <c r="I305">
        <v>5.734</v>
      </c>
      <c r="J305">
        <v>269.24299999999999</v>
      </c>
      <c r="K305">
        <v>48</v>
      </c>
    </row>
    <row r="306" spans="1:11" x14ac:dyDescent="0.25">
      <c r="A306">
        <v>12074</v>
      </c>
      <c r="B306" t="s">
        <v>1184</v>
      </c>
      <c r="C306" t="s">
        <v>404</v>
      </c>
      <c r="D306" t="s">
        <v>1053</v>
      </c>
      <c r="E306" t="s">
        <v>1138</v>
      </c>
      <c r="F306">
        <v>21</v>
      </c>
      <c r="G306">
        <v>1974</v>
      </c>
      <c r="H306">
        <v>185</v>
      </c>
      <c r="I306">
        <v>20.64</v>
      </c>
      <c r="J306">
        <v>1167.395</v>
      </c>
      <c r="K306">
        <v>493</v>
      </c>
    </row>
    <row r="307" spans="1:11" x14ac:dyDescent="0.25">
      <c r="A307">
        <v>10144</v>
      </c>
      <c r="B307" t="s">
        <v>267</v>
      </c>
      <c r="C307" t="s">
        <v>72</v>
      </c>
      <c r="E307" t="s">
        <v>1182</v>
      </c>
      <c r="F307">
        <v>56</v>
      </c>
      <c r="G307">
        <v>1944</v>
      </c>
      <c r="H307">
        <v>311</v>
      </c>
      <c r="I307">
        <v>9.1720000000000006</v>
      </c>
      <c r="J307">
        <v>505.80500000000001</v>
      </c>
      <c r="K307">
        <v>151</v>
      </c>
    </row>
    <row r="308" spans="1:11" x14ac:dyDescent="0.25">
      <c r="A308">
        <v>11014</v>
      </c>
      <c r="B308" t="s">
        <v>268</v>
      </c>
      <c r="C308" t="s">
        <v>269</v>
      </c>
      <c r="D308" t="s">
        <v>1053</v>
      </c>
      <c r="E308" t="s">
        <v>1182</v>
      </c>
      <c r="F308">
        <v>56</v>
      </c>
      <c r="G308">
        <v>1945</v>
      </c>
      <c r="H308">
        <v>347</v>
      </c>
      <c r="I308">
        <v>8.2810000000000006</v>
      </c>
      <c r="J308">
        <v>413.38499999999999</v>
      </c>
      <c r="K308">
        <v>98</v>
      </c>
    </row>
    <row r="309" spans="1:11" x14ac:dyDescent="0.25">
      <c r="A309">
        <v>24278</v>
      </c>
      <c r="B309" t="s">
        <v>270</v>
      </c>
      <c r="C309" t="s">
        <v>22</v>
      </c>
      <c r="E309" t="s">
        <v>1095</v>
      </c>
      <c r="F309">
        <v>52</v>
      </c>
      <c r="G309">
        <v>1988</v>
      </c>
      <c r="H309">
        <v>532</v>
      </c>
      <c r="I309">
        <v>2.1259999999999999</v>
      </c>
      <c r="J309">
        <v>92.421000000000006</v>
      </c>
      <c r="K309">
        <v>0</v>
      </c>
    </row>
    <row r="310" spans="1:11" x14ac:dyDescent="0.25">
      <c r="A310">
        <v>24277</v>
      </c>
      <c r="B310" t="s">
        <v>270</v>
      </c>
      <c r="C310" t="s">
        <v>16</v>
      </c>
      <c r="E310" t="s">
        <v>1095</v>
      </c>
      <c r="F310">
        <v>52</v>
      </c>
      <c r="G310">
        <v>1974</v>
      </c>
      <c r="H310">
        <v>151</v>
      </c>
      <c r="I310">
        <v>23.312999999999999</v>
      </c>
      <c r="J310">
        <v>1429.463</v>
      </c>
      <c r="K310">
        <v>568</v>
      </c>
    </row>
    <row r="311" spans="1:11" x14ac:dyDescent="0.25">
      <c r="A311">
        <v>25030</v>
      </c>
      <c r="B311" t="s">
        <v>270</v>
      </c>
      <c r="C311" t="s">
        <v>105</v>
      </c>
      <c r="E311" t="s">
        <v>1095</v>
      </c>
      <c r="F311">
        <v>52</v>
      </c>
      <c r="G311">
        <v>1949</v>
      </c>
      <c r="H311">
        <v>336</v>
      </c>
      <c r="I311">
        <v>7.3140000000000001</v>
      </c>
      <c r="J311">
        <v>441.17599999999999</v>
      </c>
      <c r="K311">
        <v>140</v>
      </c>
    </row>
    <row r="312" spans="1:11" x14ac:dyDescent="0.25">
      <c r="A312">
        <v>11034</v>
      </c>
      <c r="B312" t="s">
        <v>271</v>
      </c>
      <c r="C312" t="s">
        <v>18</v>
      </c>
      <c r="D312" t="s">
        <v>1053</v>
      </c>
      <c r="E312" t="s">
        <v>1095</v>
      </c>
      <c r="F312">
        <v>52</v>
      </c>
      <c r="G312">
        <v>1950</v>
      </c>
      <c r="H312">
        <v>291</v>
      </c>
      <c r="I312">
        <v>8.0630000000000006</v>
      </c>
      <c r="J312">
        <v>554.51900000000001</v>
      </c>
      <c r="K312">
        <v>214</v>
      </c>
    </row>
    <row r="313" spans="1:11" x14ac:dyDescent="0.25">
      <c r="A313">
        <v>22998</v>
      </c>
      <c r="B313" t="s">
        <v>272</v>
      </c>
      <c r="C313" t="s">
        <v>54</v>
      </c>
      <c r="E313" t="s">
        <v>1103</v>
      </c>
      <c r="F313">
        <v>48</v>
      </c>
      <c r="G313">
        <v>1967</v>
      </c>
      <c r="H313">
        <v>741</v>
      </c>
      <c r="I313">
        <v>0</v>
      </c>
      <c r="J313">
        <v>0</v>
      </c>
      <c r="K313">
        <v>0</v>
      </c>
    </row>
    <row r="314" spans="1:11" x14ac:dyDescent="0.25">
      <c r="A314">
        <v>16038</v>
      </c>
      <c r="B314" t="s">
        <v>1535</v>
      </c>
      <c r="C314" t="s">
        <v>122</v>
      </c>
      <c r="D314" t="s">
        <v>1053</v>
      </c>
      <c r="E314" t="s">
        <v>1167</v>
      </c>
      <c r="F314">
        <v>70</v>
      </c>
      <c r="G314">
        <v>1942</v>
      </c>
      <c r="H314">
        <v>634</v>
      </c>
      <c r="I314">
        <v>0.70299999999999996</v>
      </c>
      <c r="J314">
        <v>30.725999999999999</v>
      </c>
      <c r="K314">
        <v>0</v>
      </c>
    </row>
    <row r="315" spans="1:11" x14ac:dyDescent="0.25">
      <c r="A315">
        <v>25011</v>
      </c>
      <c r="B315" t="s">
        <v>273</v>
      </c>
      <c r="C315" t="s">
        <v>34</v>
      </c>
      <c r="E315" t="s">
        <v>1170</v>
      </c>
      <c r="F315">
        <v>55</v>
      </c>
      <c r="G315">
        <v>1963</v>
      </c>
      <c r="H315">
        <v>134</v>
      </c>
      <c r="I315">
        <v>23.439</v>
      </c>
      <c r="J315">
        <v>1596.96</v>
      </c>
      <c r="K315">
        <v>685</v>
      </c>
    </row>
    <row r="316" spans="1:11" x14ac:dyDescent="0.25">
      <c r="A316">
        <v>14085</v>
      </c>
      <c r="B316" t="s">
        <v>1536</v>
      </c>
      <c r="C316" t="s">
        <v>306</v>
      </c>
      <c r="E316" t="s">
        <v>1437</v>
      </c>
      <c r="F316">
        <v>79</v>
      </c>
      <c r="G316">
        <v>1984</v>
      </c>
      <c r="H316">
        <v>742</v>
      </c>
      <c r="I316">
        <v>0</v>
      </c>
      <c r="J316">
        <v>0</v>
      </c>
      <c r="K316">
        <v>0</v>
      </c>
    </row>
    <row r="317" spans="1:11" x14ac:dyDescent="0.25">
      <c r="A317">
        <v>23093</v>
      </c>
      <c r="B317" t="s">
        <v>274</v>
      </c>
      <c r="C317" t="s">
        <v>105</v>
      </c>
      <c r="E317" t="s">
        <v>680</v>
      </c>
      <c r="F317">
        <v>19</v>
      </c>
      <c r="G317">
        <v>1964</v>
      </c>
      <c r="H317">
        <v>431</v>
      </c>
      <c r="I317">
        <v>2.9380000000000002</v>
      </c>
      <c r="J317">
        <v>238.40199999999999</v>
      </c>
      <c r="K317">
        <v>113</v>
      </c>
    </row>
    <row r="318" spans="1:11" x14ac:dyDescent="0.25">
      <c r="A318">
        <v>15077</v>
      </c>
      <c r="B318" t="s">
        <v>1537</v>
      </c>
      <c r="C318" t="s">
        <v>138</v>
      </c>
      <c r="D318" t="s">
        <v>1053</v>
      </c>
      <c r="E318" t="s">
        <v>1136</v>
      </c>
      <c r="F318">
        <v>13</v>
      </c>
      <c r="G318">
        <v>1978</v>
      </c>
      <c r="H318">
        <v>302</v>
      </c>
      <c r="I318">
        <v>9.5790000000000006</v>
      </c>
      <c r="J318">
        <v>530.64499999999998</v>
      </c>
      <c r="K318">
        <v>202</v>
      </c>
    </row>
    <row r="319" spans="1:11" x14ac:dyDescent="0.25">
      <c r="A319">
        <v>16039</v>
      </c>
      <c r="B319" t="s">
        <v>1538</v>
      </c>
      <c r="C319" t="s">
        <v>42</v>
      </c>
      <c r="D319" t="s">
        <v>1053</v>
      </c>
      <c r="E319" t="s">
        <v>1167</v>
      </c>
      <c r="F319">
        <v>70</v>
      </c>
      <c r="G319">
        <v>1934</v>
      </c>
      <c r="H319">
        <v>614</v>
      </c>
      <c r="I319">
        <v>0.875</v>
      </c>
      <c r="J319">
        <v>38.237000000000002</v>
      </c>
      <c r="K319">
        <v>0</v>
      </c>
    </row>
    <row r="320" spans="1:11" x14ac:dyDescent="0.25">
      <c r="A320">
        <v>98307</v>
      </c>
      <c r="B320" t="s">
        <v>275</v>
      </c>
      <c r="C320" t="s">
        <v>276</v>
      </c>
      <c r="E320" t="s">
        <v>1092</v>
      </c>
      <c r="F320">
        <v>30</v>
      </c>
      <c r="G320">
        <v>1979</v>
      </c>
      <c r="H320">
        <v>178</v>
      </c>
      <c r="I320">
        <v>19.876000000000001</v>
      </c>
      <c r="J320">
        <v>1206.164</v>
      </c>
      <c r="K320">
        <v>446</v>
      </c>
    </row>
    <row r="321" spans="1:11" x14ac:dyDescent="0.25">
      <c r="A321">
        <v>11011</v>
      </c>
      <c r="B321" t="s">
        <v>277</v>
      </c>
      <c r="C321" t="s">
        <v>54</v>
      </c>
      <c r="E321" t="s">
        <v>678</v>
      </c>
      <c r="F321">
        <v>17</v>
      </c>
      <c r="G321">
        <v>1984</v>
      </c>
      <c r="H321">
        <v>10</v>
      </c>
      <c r="I321">
        <v>43</v>
      </c>
      <c r="J321">
        <v>3752.4690000000001</v>
      </c>
      <c r="K321">
        <v>1784</v>
      </c>
    </row>
    <row r="322" spans="1:11" x14ac:dyDescent="0.25">
      <c r="A322">
        <v>14047</v>
      </c>
      <c r="B322" t="s">
        <v>1539</v>
      </c>
      <c r="C322" t="s">
        <v>478</v>
      </c>
      <c r="D322" t="s">
        <v>1053</v>
      </c>
      <c r="E322" t="s">
        <v>1169</v>
      </c>
      <c r="F322">
        <v>76</v>
      </c>
      <c r="G322">
        <v>1952</v>
      </c>
      <c r="H322">
        <v>459</v>
      </c>
      <c r="I322">
        <v>2.9220000000000002</v>
      </c>
      <c r="J322">
        <v>196.434</v>
      </c>
      <c r="K322">
        <v>63</v>
      </c>
    </row>
    <row r="323" spans="1:11" x14ac:dyDescent="0.25">
      <c r="A323">
        <v>14089</v>
      </c>
      <c r="B323" t="s">
        <v>1540</v>
      </c>
      <c r="C323" t="s">
        <v>54</v>
      </c>
      <c r="E323" t="s">
        <v>1437</v>
      </c>
      <c r="F323">
        <v>79</v>
      </c>
      <c r="G323">
        <v>1985</v>
      </c>
      <c r="H323">
        <v>539</v>
      </c>
      <c r="I323">
        <v>0.625</v>
      </c>
      <c r="J323">
        <v>84.135999999999996</v>
      </c>
      <c r="K323">
        <v>55</v>
      </c>
    </row>
    <row r="324" spans="1:11" x14ac:dyDescent="0.25">
      <c r="A324">
        <v>27070</v>
      </c>
      <c r="B324" t="s">
        <v>278</v>
      </c>
      <c r="C324" t="s">
        <v>73</v>
      </c>
      <c r="E324" t="s">
        <v>1163</v>
      </c>
      <c r="F324">
        <v>61</v>
      </c>
      <c r="G324">
        <v>1982</v>
      </c>
      <c r="H324">
        <v>356</v>
      </c>
      <c r="I324">
        <v>11.891</v>
      </c>
      <c r="J324">
        <v>391.89</v>
      </c>
      <c r="K324">
        <v>85</v>
      </c>
    </row>
    <row r="325" spans="1:11" x14ac:dyDescent="0.25">
      <c r="A325">
        <v>99590</v>
      </c>
      <c r="B325" t="s">
        <v>279</v>
      </c>
      <c r="C325" t="s">
        <v>177</v>
      </c>
      <c r="E325" t="s">
        <v>680</v>
      </c>
      <c r="F325">
        <v>19</v>
      </c>
      <c r="G325">
        <v>1961</v>
      </c>
      <c r="H325">
        <v>60</v>
      </c>
      <c r="I325">
        <v>32</v>
      </c>
      <c r="J325">
        <v>2384.6550000000002</v>
      </c>
      <c r="K325">
        <v>1081</v>
      </c>
    </row>
    <row r="326" spans="1:11" x14ac:dyDescent="0.25">
      <c r="A326">
        <v>26046</v>
      </c>
      <c r="B326" t="s">
        <v>280</v>
      </c>
      <c r="C326" t="s">
        <v>92</v>
      </c>
      <c r="E326" t="s">
        <v>1149</v>
      </c>
      <c r="F326">
        <v>57</v>
      </c>
      <c r="G326">
        <v>1975</v>
      </c>
      <c r="H326">
        <v>743</v>
      </c>
      <c r="I326">
        <v>0</v>
      </c>
      <c r="J326">
        <v>0</v>
      </c>
      <c r="K326">
        <v>0</v>
      </c>
    </row>
    <row r="327" spans="1:11" x14ac:dyDescent="0.25">
      <c r="A327">
        <v>11041</v>
      </c>
      <c r="B327" t="s">
        <v>281</v>
      </c>
      <c r="C327" t="s">
        <v>194</v>
      </c>
      <c r="D327" t="s">
        <v>139</v>
      </c>
      <c r="E327" t="s">
        <v>1147</v>
      </c>
      <c r="F327">
        <v>1</v>
      </c>
      <c r="G327">
        <v>2002</v>
      </c>
      <c r="H327">
        <v>326</v>
      </c>
      <c r="I327">
        <v>7.2190000000000003</v>
      </c>
      <c r="J327">
        <v>466.596</v>
      </c>
      <c r="K327">
        <v>177</v>
      </c>
    </row>
    <row r="328" spans="1:11" x14ac:dyDescent="0.25">
      <c r="A328">
        <v>14103</v>
      </c>
      <c r="B328" t="s">
        <v>1541</v>
      </c>
      <c r="C328" t="s">
        <v>15</v>
      </c>
      <c r="E328" t="s">
        <v>1171</v>
      </c>
      <c r="F328">
        <v>74</v>
      </c>
      <c r="G328">
        <v>1958</v>
      </c>
      <c r="H328">
        <v>744</v>
      </c>
      <c r="I328">
        <v>0</v>
      </c>
      <c r="J328">
        <v>0</v>
      </c>
      <c r="K328">
        <v>0</v>
      </c>
    </row>
    <row r="329" spans="1:11" x14ac:dyDescent="0.25">
      <c r="A329">
        <v>12040</v>
      </c>
      <c r="B329" t="s">
        <v>282</v>
      </c>
      <c r="C329" t="s">
        <v>54</v>
      </c>
      <c r="E329" t="s">
        <v>58</v>
      </c>
      <c r="F329">
        <v>73</v>
      </c>
      <c r="G329">
        <v>1945</v>
      </c>
      <c r="H329">
        <v>745</v>
      </c>
      <c r="I329">
        <v>0</v>
      </c>
      <c r="J329">
        <v>0</v>
      </c>
      <c r="K329">
        <v>0</v>
      </c>
    </row>
    <row r="330" spans="1:11" x14ac:dyDescent="0.25">
      <c r="A330">
        <v>27003</v>
      </c>
      <c r="B330" t="s">
        <v>283</v>
      </c>
      <c r="C330" t="s">
        <v>34</v>
      </c>
      <c r="E330" t="s">
        <v>38</v>
      </c>
      <c r="F330">
        <v>59</v>
      </c>
      <c r="G330">
        <v>1987</v>
      </c>
      <c r="H330">
        <v>746</v>
      </c>
      <c r="I330">
        <v>0</v>
      </c>
      <c r="J330">
        <v>0</v>
      </c>
      <c r="K330">
        <v>0</v>
      </c>
    </row>
    <row r="331" spans="1:11" x14ac:dyDescent="0.25">
      <c r="A331">
        <v>11060</v>
      </c>
      <c r="B331" t="s">
        <v>284</v>
      </c>
      <c r="C331" t="s">
        <v>227</v>
      </c>
      <c r="E331" t="s">
        <v>1123</v>
      </c>
      <c r="F331">
        <v>27</v>
      </c>
      <c r="G331">
        <v>1967</v>
      </c>
      <c r="H331">
        <v>329</v>
      </c>
      <c r="I331">
        <v>8.0939999999999994</v>
      </c>
      <c r="J331">
        <v>458.34399999999999</v>
      </c>
      <c r="K331">
        <v>116</v>
      </c>
    </row>
    <row r="332" spans="1:11" x14ac:dyDescent="0.25">
      <c r="A332">
        <v>25087</v>
      </c>
      <c r="B332" t="s">
        <v>285</v>
      </c>
      <c r="C332" t="s">
        <v>143</v>
      </c>
      <c r="D332" t="s">
        <v>1053</v>
      </c>
      <c r="E332" t="s">
        <v>1123</v>
      </c>
      <c r="F332">
        <v>27</v>
      </c>
      <c r="G332">
        <v>1970</v>
      </c>
      <c r="H332">
        <v>133</v>
      </c>
      <c r="I332">
        <v>22.626000000000001</v>
      </c>
      <c r="J332">
        <v>1607.6790000000001</v>
      </c>
      <c r="K332">
        <v>625</v>
      </c>
    </row>
    <row r="333" spans="1:11" x14ac:dyDescent="0.25">
      <c r="A333">
        <v>13029</v>
      </c>
      <c r="B333" t="s">
        <v>1185</v>
      </c>
      <c r="C333" t="s">
        <v>15</v>
      </c>
      <c r="E333" t="s">
        <v>1169</v>
      </c>
      <c r="F333">
        <v>76</v>
      </c>
      <c r="G333">
        <v>1961</v>
      </c>
      <c r="H333">
        <v>139</v>
      </c>
      <c r="I333">
        <v>18.876000000000001</v>
      </c>
      <c r="J333">
        <v>1571.9760000000001</v>
      </c>
      <c r="K333">
        <v>791</v>
      </c>
    </row>
    <row r="334" spans="1:11" x14ac:dyDescent="0.25">
      <c r="A334">
        <v>11038</v>
      </c>
      <c r="B334" t="s">
        <v>286</v>
      </c>
      <c r="C334" t="s">
        <v>287</v>
      </c>
      <c r="E334" t="s">
        <v>1147</v>
      </c>
      <c r="F334">
        <v>1</v>
      </c>
      <c r="G334">
        <v>1979</v>
      </c>
      <c r="H334">
        <v>36</v>
      </c>
      <c r="I334">
        <v>31.25</v>
      </c>
      <c r="J334">
        <v>2816.5219999999999</v>
      </c>
      <c r="K334">
        <v>1431</v>
      </c>
    </row>
    <row r="335" spans="1:11" x14ac:dyDescent="0.25">
      <c r="A335">
        <v>28007</v>
      </c>
      <c r="B335" t="s">
        <v>288</v>
      </c>
      <c r="C335" t="s">
        <v>166</v>
      </c>
      <c r="E335" t="s">
        <v>1101</v>
      </c>
      <c r="F335">
        <v>14</v>
      </c>
      <c r="G335">
        <v>1993</v>
      </c>
      <c r="H335">
        <v>17</v>
      </c>
      <c r="I335">
        <v>41.5</v>
      </c>
      <c r="J335">
        <v>3344.5889999999999</v>
      </c>
      <c r="K335">
        <v>1551</v>
      </c>
    </row>
    <row r="336" spans="1:11" x14ac:dyDescent="0.25">
      <c r="A336">
        <v>21910</v>
      </c>
      <c r="B336" t="s">
        <v>289</v>
      </c>
      <c r="C336" t="s">
        <v>105</v>
      </c>
      <c r="E336" t="s">
        <v>706</v>
      </c>
      <c r="F336">
        <v>39</v>
      </c>
      <c r="G336">
        <v>1954</v>
      </c>
      <c r="H336">
        <v>747</v>
      </c>
      <c r="I336">
        <v>0</v>
      </c>
      <c r="J336">
        <v>0</v>
      </c>
      <c r="K336">
        <v>0</v>
      </c>
    </row>
    <row r="337" spans="1:11" x14ac:dyDescent="0.25">
      <c r="A337">
        <v>21911</v>
      </c>
      <c r="B337" t="s">
        <v>290</v>
      </c>
      <c r="C337" t="s">
        <v>143</v>
      </c>
      <c r="D337" t="s">
        <v>1053</v>
      </c>
      <c r="E337" t="s">
        <v>706</v>
      </c>
      <c r="F337">
        <v>39</v>
      </c>
      <c r="G337">
        <v>1955</v>
      </c>
      <c r="H337">
        <v>748</v>
      </c>
      <c r="I337">
        <v>0</v>
      </c>
      <c r="J337">
        <v>0</v>
      </c>
      <c r="K337">
        <v>0</v>
      </c>
    </row>
    <row r="338" spans="1:11" x14ac:dyDescent="0.25">
      <c r="A338">
        <v>14023</v>
      </c>
      <c r="B338" t="s">
        <v>1542</v>
      </c>
      <c r="C338" t="s">
        <v>16</v>
      </c>
      <c r="E338" t="s">
        <v>1170</v>
      </c>
      <c r="F338">
        <v>55</v>
      </c>
      <c r="G338">
        <v>1960</v>
      </c>
      <c r="H338">
        <v>749</v>
      </c>
      <c r="I338">
        <v>0</v>
      </c>
      <c r="J338">
        <v>0</v>
      </c>
      <c r="K338">
        <v>0</v>
      </c>
    </row>
    <row r="339" spans="1:11" x14ac:dyDescent="0.25">
      <c r="A339">
        <v>96115</v>
      </c>
      <c r="B339" t="s">
        <v>291</v>
      </c>
      <c r="C339" t="s">
        <v>72</v>
      </c>
      <c r="E339" t="s">
        <v>1131</v>
      </c>
      <c r="F339">
        <v>7</v>
      </c>
      <c r="G339">
        <v>1969</v>
      </c>
      <c r="H339">
        <v>462</v>
      </c>
      <c r="I339">
        <v>3.5009999999999999</v>
      </c>
      <c r="J339">
        <v>193.155</v>
      </c>
      <c r="K339">
        <v>63</v>
      </c>
    </row>
    <row r="340" spans="1:11" x14ac:dyDescent="0.25">
      <c r="A340">
        <v>13020</v>
      </c>
      <c r="B340" t="s">
        <v>292</v>
      </c>
      <c r="C340" t="s">
        <v>293</v>
      </c>
      <c r="D340" t="s">
        <v>1053</v>
      </c>
      <c r="E340" t="s">
        <v>1175</v>
      </c>
      <c r="F340">
        <v>75</v>
      </c>
      <c r="G340">
        <v>1961</v>
      </c>
      <c r="H340">
        <v>750</v>
      </c>
      <c r="I340">
        <v>0</v>
      </c>
      <c r="J340">
        <v>0</v>
      </c>
      <c r="K340">
        <v>0</v>
      </c>
    </row>
    <row r="341" spans="1:11" x14ac:dyDescent="0.25">
      <c r="A341">
        <v>10139</v>
      </c>
      <c r="B341" t="s">
        <v>294</v>
      </c>
      <c r="C341" t="s">
        <v>46</v>
      </c>
      <c r="E341" t="s">
        <v>1101</v>
      </c>
      <c r="F341">
        <v>14</v>
      </c>
      <c r="G341">
        <v>1946</v>
      </c>
      <c r="H341">
        <v>93</v>
      </c>
      <c r="I341">
        <v>23.626000000000001</v>
      </c>
      <c r="J341">
        <v>1988.308</v>
      </c>
      <c r="K341">
        <v>1106</v>
      </c>
    </row>
    <row r="342" spans="1:11" x14ac:dyDescent="0.25">
      <c r="A342">
        <v>12047</v>
      </c>
      <c r="B342" t="s">
        <v>295</v>
      </c>
      <c r="C342" t="s">
        <v>296</v>
      </c>
      <c r="D342" t="s">
        <v>1053</v>
      </c>
      <c r="E342" t="s">
        <v>1101</v>
      </c>
      <c r="F342">
        <v>14</v>
      </c>
      <c r="G342">
        <v>1947</v>
      </c>
      <c r="H342">
        <v>83</v>
      </c>
      <c r="I342">
        <v>22.751000000000001</v>
      </c>
      <c r="J342">
        <v>2102.3000000000002</v>
      </c>
      <c r="K342">
        <v>1263</v>
      </c>
    </row>
    <row r="343" spans="1:11" x14ac:dyDescent="0.25">
      <c r="A343">
        <v>27039</v>
      </c>
      <c r="B343" t="s">
        <v>297</v>
      </c>
      <c r="C343" t="s">
        <v>223</v>
      </c>
      <c r="E343" t="s">
        <v>680</v>
      </c>
      <c r="F343">
        <v>19</v>
      </c>
      <c r="G343">
        <v>1966</v>
      </c>
      <c r="H343">
        <v>11</v>
      </c>
      <c r="I343">
        <v>44.5</v>
      </c>
      <c r="J343">
        <v>3721.31</v>
      </c>
      <c r="K343">
        <v>1818</v>
      </c>
    </row>
    <row r="344" spans="1:11" x14ac:dyDescent="0.25">
      <c r="A344">
        <v>27040</v>
      </c>
      <c r="B344" t="s">
        <v>298</v>
      </c>
      <c r="C344" t="s">
        <v>98</v>
      </c>
      <c r="D344" t="s">
        <v>1053</v>
      </c>
      <c r="E344" t="s">
        <v>1119</v>
      </c>
      <c r="F344">
        <v>54</v>
      </c>
      <c r="G344">
        <v>1975</v>
      </c>
      <c r="H344">
        <v>338</v>
      </c>
      <c r="I344">
        <v>4.6559999999999997</v>
      </c>
      <c r="J344">
        <v>436.50799999999998</v>
      </c>
      <c r="K344">
        <v>223</v>
      </c>
    </row>
    <row r="345" spans="1:11" x14ac:dyDescent="0.25">
      <c r="A345">
        <v>10080</v>
      </c>
      <c r="B345" t="s">
        <v>299</v>
      </c>
      <c r="C345" t="s">
        <v>300</v>
      </c>
      <c r="E345" t="s">
        <v>1134</v>
      </c>
      <c r="F345">
        <v>69</v>
      </c>
      <c r="G345">
        <v>1960</v>
      </c>
      <c r="H345">
        <v>548</v>
      </c>
      <c r="I345">
        <v>1.7809999999999999</v>
      </c>
      <c r="J345">
        <v>78.191999999999993</v>
      </c>
      <c r="K345">
        <v>18</v>
      </c>
    </row>
    <row r="346" spans="1:11" x14ac:dyDescent="0.25">
      <c r="A346">
        <v>16029</v>
      </c>
      <c r="B346" t="s">
        <v>1543</v>
      </c>
      <c r="C346" t="s">
        <v>385</v>
      </c>
      <c r="D346" t="s">
        <v>1053</v>
      </c>
      <c r="E346" t="s">
        <v>1437</v>
      </c>
      <c r="F346">
        <v>79</v>
      </c>
      <c r="G346">
        <v>1982</v>
      </c>
      <c r="H346">
        <v>365</v>
      </c>
      <c r="I346">
        <v>6.4690000000000003</v>
      </c>
      <c r="J346">
        <v>374.86700000000002</v>
      </c>
      <c r="K346">
        <v>91</v>
      </c>
    </row>
    <row r="347" spans="1:11" x14ac:dyDescent="0.25">
      <c r="A347">
        <v>28034</v>
      </c>
      <c r="B347" t="s">
        <v>301</v>
      </c>
      <c r="C347" t="s">
        <v>302</v>
      </c>
      <c r="D347" t="s">
        <v>1053</v>
      </c>
      <c r="E347" t="s">
        <v>107</v>
      </c>
      <c r="F347">
        <v>45</v>
      </c>
      <c r="G347">
        <v>1961</v>
      </c>
      <c r="H347">
        <v>395</v>
      </c>
      <c r="I347">
        <v>2.9220000000000002</v>
      </c>
      <c r="J347">
        <v>277.41199999999998</v>
      </c>
      <c r="K347">
        <v>142</v>
      </c>
    </row>
    <row r="348" spans="1:11" x14ac:dyDescent="0.25">
      <c r="A348">
        <v>16119</v>
      </c>
      <c r="B348" t="s">
        <v>1723</v>
      </c>
      <c r="C348" t="s">
        <v>1687</v>
      </c>
      <c r="D348" t="s">
        <v>1053</v>
      </c>
      <c r="E348" t="s">
        <v>1437</v>
      </c>
      <c r="F348">
        <v>79</v>
      </c>
      <c r="G348">
        <v>1983</v>
      </c>
      <c r="H348">
        <v>565</v>
      </c>
      <c r="I348">
        <v>0.75</v>
      </c>
      <c r="J348">
        <v>63.889000000000003</v>
      </c>
      <c r="K348">
        <v>28</v>
      </c>
    </row>
    <row r="349" spans="1:11" x14ac:dyDescent="0.25">
      <c r="A349">
        <v>10151</v>
      </c>
      <c r="B349" t="s">
        <v>1544</v>
      </c>
      <c r="C349" t="s">
        <v>1545</v>
      </c>
      <c r="E349" t="s">
        <v>1164</v>
      </c>
      <c r="F349">
        <v>2</v>
      </c>
      <c r="G349">
        <v>1963</v>
      </c>
      <c r="H349">
        <v>427</v>
      </c>
      <c r="I349">
        <v>3.2970000000000002</v>
      </c>
      <c r="J349">
        <v>245.88</v>
      </c>
      <c r="K349">
        <v>102</v>
      </c>
    </row>
    <row r="350" spans="1:11" x14ac:dyDescent="0.25">
      <c r="A350">
        <v>15017</v>
      </c>
      <c r="B350" t="s">
        <v>1546</v>
      </c>
      <c r="C350" t="s">
        <v>1529</v>
      </c>
      <c r="D350" t="s">
        <v>1053</v>
      </c>
      <c r="E350" t="s">
        <v>1119</v>
      </c>
      <c r="F350">
        <v>54</v>
      </c>
      <c r="G350">
        <v>1953</v>
      </c>
      <c r="H350">
        <v>454</v>
      </c>
      <c r="I350">
        <v>3.32</v>
      </c>
      <c r="J350">
        <v>200.44200000000001</v>
      </c>
      <c r="K350">
        <v>55</v>
      </c>
    </row>
    <row r="351" spans="1:11" x14ac:dyDescent="0.25">
      <c r="A351">
        <v>25078</v>
      </c>
      <c r="B351" t="s">
        <v>1314</v>
      </c>
      <c r="C351" t="s">
        <v>16</v>
      </c>
      <c r="E351" t="s">
        <v>1149</v>
      </c>
      <c r="F351">
        <v>57</v>
      </c>
      <c r="G351">
        <v>1984</v>
      </c>
      <c r="H351">
        <v>751</v>
      </c>
      <c r="I351">
        <v>0</v>
      </c>
      <c r="J351">
        <v>0</v>
      </c>
      <c r="K351">
        <v>0</v>
      </c>
    </row>
    <row r="352" spans="1:11" x14ac:dyDescent="0.25">
      <c r="A352">
        <v>25045</v>
      </c>
      <c r="B352" t="s">
        <v>303</v>
      </c>
      <c r="C352" t="s">
        <v>16</v>
      </c>
      <c r="E352" t="s">
        <v>1138</v>
      </c>
      <c r="F352">
        <v>21</v>
      </c>
      <c r="G352">
        <v>1967</v>
      </c>
      <c r="H352">
        <v>314</v>
      </c>
      <c r="I352">
        <v>4</v>
      </c>
      <c r="J352">
        <v>498.947</v>
      </c>
      <c r="K352">
        <v>304</v>
      </c>
    </row>
    <row r="353" spans="1:11" x14ac:dyDescent="0.25">
      <c r="A353">
        <v>14099</v>
      </c>
      <c r="B353" t="s">
        <v>1547</v>
      </c>
      <c r="C353" t="s">
        <v>480</v>
      </c>
      <c r="E353" t="s">
        <v>1095</v>
      </c>
      <c r="F353">
        <v>52</v>
      </c>
      <c r="G353">
        <v>1982</v>
      </c>
      <c r="H353">
        <v>169</v>
      </c>
      <c r="I353">
        <v>18.562999999999999</v>
      </c>
      <c r="J353">
        <v>1295.046</v>
      </c>
      <c r="K353">
        <v>512</v>
      </c>
    </row>
    <row r="354" spans="1:11" x14ac:dyDescent="0.25">
      <c r="A354">
        <v>14026</v>
      </c>
      <c r="B354" t="s">
        <v>1548</v>
      </c>
      <c r="C354" t="s">
        <v>129</v>
      </c>
      <c r="D354" t="s">
        <v>1053</v>
      </c>
      <c r="E354" t="s">
        <v>680</v>
      </c>
      <c r="F354">
        <v>19</v>
      </c>
      <c r="G354">
        <v>1953</v>
      </c>
      <c r="H354">
        <v>438</v>
      </c>
      <c r="I354">
        <v>3.2509999999999999</v>
      </c>
      <c r="J354">
        <v>229.53399999999999</v>
      </c>
      <c r="K354">
        <v>92</v>
      </c>
    </row>
    <row r="355" spans="1:11" x14ac:dyDescent="0.25">
      <c r="A355">
        <v>14077</v>
      </c>
      <c r="B355" t="s">
        <v>1549</v>
      </c>
      <c r="C355" t="s">
        <v>92</v>
      </c>
      <c r="E355" t="s">
        <v>1437</v>
      </c>
      <c r="F355">
        <v>79</v>
      </c>
      <c r="G355">
        <v>1989</v>
      </c>
      <c r="H355">
        <v>531</v>
      </c>
      <c r="I355">
        <v>2.125</v>
      </c>
      <c r="J355">
        <v>92.462999999999994</v>
      </c>
      <c r="K355">
        <v>0</v>
      </c>
    </row>
    <row r="356" spans="1:11" x14ac:dyDescent="0.25">
      <c r="A356">
        <v>14076</v>
      </c>
      <c r="B356" t="s">
        <v>1549</v>
      </c>
      <c r="C356" t="s">
        <v>34</v>
      </c>
      <c r="E356" t="s">
        <v>1437</v>
      </c>
      <c r="F356">
        <v>79</v>
      </c>
      <c r="G356">
        <v>1985</v>
      </c>
      <c r="H356">
        <v>61</v>
      </c>
      <c r="I356">
        <v>38.313000000000002</v>
      </c>
      <c r="J356">
        <v>2378.8760000000002</v>
      </c>
      <c r="K356">
        <v>951</v>
      </c>
    </row>
    <row r="357" spans="1:11" x14ac:dyDescent="0.25">
      <c r="A357">
        <v>10038</v>
      </c>
      <c r="B357" t="s">
        <v>304</v>
      </c>
      <c r="C357" t="s">
        <v>39</v>
      </c>
      <c r="E357" t="s">
        <v>168</v>
      </c>
      <c r="F357">
        <v>68</v>
      </c>
      <c r="G357">
        <v>1976</v>
      </c>
      <c r="H357">
        <v>274</v>
      </c>
      <c r="I357">
        <v>5.923</v>
      </c>
      <c r="J357">
        <v>615.57000000000005</v>
      </c>
      <c r="K357">
        <v>341</v>
      </c>
    </row>
    <row r="358" spans="1:11" x14ac:dyDescent="0.25">
      <c r="A358">
        <v>16040</v>
      </c>
      <c r="B358" t="s">
        <v>1550</v>
      </c>
      <c r="C358" t="s">
        <v>109</v>
      </c>
      <c r="D358" t="s">
        <v>1053</v>
      </c>
      <c r="E358" t="s">
        <v>1167</v>
      </c>
      <c r="F358">
        <v>70</v>
      </c>
      <c r="G358">
        <v>1949</v>
      </c>
      <c r="H358">
        <v>752</v>
      </c>
      <c r="I358">
        <v>0</v>
      </c>
      <c r="J358">
        <v>0</v>
      </c>
      <c r="K358">
        <v>0</v>
      </c>
    </row>
    <row r="359" spans="1:11" x14ac:dyDescent="0.25">
      <c r="A359">
        <v>23029</v>
      </c>
      <c r="B359" t="s">
        <v>305</v>
      </c>
      <c r="C359" t="s">
        <v>306</v>
      </c>
      <c r="E359" t="s">
        <v>1101</v>
      </c>
      <c r="F359">
        <v>14</v>
      </c>
      <c r="G359">
        <v>1967</v>
      </c>
      <c r="H359">
        <v>313</v>
      </c>
      <c r="I359">
        <v>8.375</v>
      </c>
      <c r="J359">
        <v>499.529</v>
      </c>
      <c r="K359">
        <v>167</v>
      </c>
    </row>
    <row r="360" spans="1:11" x14ac:dyDescent="0.25">
      <c r="A360">
        <v>14095</v>
      </c>
      <c r="B360" t="s">
        <v>1551</v>
      </c>
      <c r="C360" t="s">
        <v>486</v>
      </c>
      <c r="D360" t="s">
        <v>1048</v>
      </c>
      <c r="E360" t="s">
        <v>1134</v>
      </c>
      <c r="F360">
        <v>69</v>
      </c>
      <c r="G360">
        <v>2001</v>
      </c>
      <c r="H360">
        <v>648</v>
      </c>
      <c r="I360">
        <v>0.875</v>
      </c>
      <c r="J360">
        <v>25.587</v>
      </c>
      <c r="K360">
        <v>0</v>
      </c>
    </row>
    <row r="361" spans="1:11" x14ac:dyDescent="0.25">
      <c r="A361">
        <v>21743</v>
      </c>
      <c r="B361" t="s">
        <v>307</v>
      </c>
      <c r="C361" t="s">
        <v>308</v>
      </c>
      <c r="E361" t="s">
        <v>1176</v>
      </c>
      <c r="F361">
        <v>42</v>
      </c>
      <c r="G361">
        <v>1951</v>
      </c>
      <c r="H361">
        <v>509</v>
      </c>
      <c r="I361">
        <v>3.5939999999999999</v>
      </c>
      <c r="J361">
        <v>123.52500000000001</v>
      </c>
      <c r="K361">
        <v>0</v>
      </c>
    </row>
    <row r="362" spans="1:11" x14ac:dyDescent="0.25">
      <c r="A362">
        <v>23078</v>
      </c>
      <c r="B362" t="s">
        <v>309</v>
      </c>
      <c r="C362" t="s">
        <v>310</v>
      </c>
      <c r="D362" t="s">
        <v>1053</v>
      </c>
      <c r="E362" t="s">
        <v>1176</v>
      </c>
      <c r="F362">
        <v>42</v>
      </c>
      <c r="G362">
        <v>1953</v>
      </c>
      <c r="H362">
        <v>510</v>
      </c>
      <c r="I362">
        <v>3.5939999999999999</v>
      </c>
      <c r="J362">
        <v>123.52500000000001</v>
      </c>
      <c r="K362">
        <v>0</v>
      </c>
    </row>
    <row r="363" spans="1:11" x14ac:dyDescent="0.25">
      <c r="A363">
        <v>21759</v>
      </c>
      <c r="B363" t="s">
        <v>311</v>
      </c>
      <c r="C363" t="s">
        <v>80</v>
      </c>
      <c r="E363" t="s">
        <v>31</v>
      </c>
      <c r="F363">
        <v>29</v>
      </c>
      <c r="G363">
        <v>1963</v>
      </c>
      <c r="H363">
        <v>472</v>
      </c>
      <c r="I363">
        <v>5.5629999999999997</v>
      </c>
      <c r="J363">
        <v>180.54300000000001</v>
      </c>
      <c r="K363">
        <v>15</v>
      </c>
    </row>
    <row r="364" spans="1:11" x14ac:dyDescent="0.25">
      <c r="A364">
        <v>24341</v>
      </c>
      <c r="B364" t="s">
        <v>312</v>
      </c>
      <c r="C364" t="s">
        <v>112</v>
      </c>
      <c r="D364" t="s">
        <v>1053</v>
      </c>
      <c r="E364" t="s">
        <v>1116</v>
      </c>
      <c r="F364">
        <v>20</v>
      </c>
      <c r="G364">
        <v>1979</v>
      </c>
      <c r="H364">
        <v>753</v>
      </c>
      <c r="I364">
        <v>0</v>
      </c>
      <c r="J364">
        <v>0</v>
      </c>
      <c r="K364">
        <v>0</v>
      </c>
    </row>
    <row r="365" spans="1:11" x14ac:dyDescent="0.25">
      <c r="A365">
        <v>16019</v>
      </c>
      <c r="B365" t="s">
        <v>1552</v>
      </c>
      <c r="C365" t="s">
        <v>20</v>
      </c>
      <c r="D365" t="s">
        <v>1053</v>
      </c>
      <c r="E365" t="s">
        <v>1469</v>
      </c>
      <c r="F365">
        <v>28</v>
      </c>
      <c r="G365">
        <v>1954</v>
      </c>
      <c r="H365">
        <v>754</v>
      </c>
      <c r="I365">
        <v>0</v>
      </c>
      <c r="J365">
        <v>0</v>
      </c>
      <c r="K365">
        <v>0</v>
      </c>
    </row>
    <row r="366" spans="1:11" x14ac:dyDescent="0.25">
      <c r="A366">
        <v>16079</v>
      </c>
      <c r="B366" t="s">
        <v>1553</v>
      </c>
      <c r="C366" t="s">
        <v>1554</v>
      </c>
      <c r="D366" t="s">
        <v>1053</v>
      </c>
      <c r="E366" t="s">
        <v>1441</v>
      </c>
      <c r="F366">
        <v>84</v>
      </c>
      <c r="G366">
        <v>1943</v>
      </c>
      <c r="H366">
        <v>638</v>
      </c>
      <c r="I366">
        <v>0.95299999999999996</v>
      </c>
      <c r="J366">
        <v>30.317</v>
      </c>
      <c r="K366">
        <v>0</v>
      </c>
    </row>
    <row r="367" spans="1:11" x14ac:dyDescent="0.25">
      <c r="A367">
        <v>10154</v>
      </c>
      <c r="B367" t="s">
        <v>313</v>
      </c>
      <c r="C367" t="s">
        <v>120</v>
      </c>
      <c r="D367" t="s">
        <v>1053</v>
      </c>
      <c r="E367" t="s">
        <v>1170</v>
      </c>
      <c r="F367">
        <v>55</v>
      </c>
      <c r="G367">
        <v>1973</v>
      </c>
      <c r="H367">
        <v>755</v>
      </c>
      <c r="I367">
        <v>0</v>
      </c>
      <c r="J367">
        <v>0</v>
      </c>
      <c r="K367">
        <v>0</v>
      </c>
    </row>
    <row r="368" spans="1:11" x14ac:dyDescent="0.25">
      <c r="A368">
        <v>10062</v>
      </c>
      <c r="B368" t="s">
        <v>314</v>
      </c>
      <c r="C368" t="s">
        <v>166</v>
      </c>
      <c r="E368" t="s">
        <v>1170</v>
      </c>
      <c r="F368">
        <v>55</v>
      </c>
      <c r="G368">
        <v>1973</v>
      </c>
      <c r="H368">
        <v>756</v>
      </c>
      <c r="I368">
        <v>0</v>
      </c>
      <c r="J368">
        <v>0</v>
      </c>
      <c r="K368">
        <v>0</v>
      </c>
    </row>
    <row r="369" spans="1:11" x14ac:dyDescent="0.25">
      <c r="A369">
        <v>13012</v>
      </c>
      <c r="B369" t="s">
        <v>1186</v>
      </c>
      <c r="C369" t="s">
        <v>125</v>
      </c>
      <c r="E369" t="s">
        <v>1175</v>
      </c>
      <c r="F369">
        <v>75</v>
      </c>
      <c r="G369">
        <v>1971</v>
      </c>
      <c r="H369">
        <v>757</v>
      </c>
      <c r="I369">
        <v>0</v>
      </c>
      <c r="J369">
        <v>0</v>
      </c>
      <c r="K369">
        <v>0</v>
      </c>
    </row>
    <row r="370" spans="1:11" x14ac:dyDescent="0.25">
      <c r="A370">
        <v>13013</v>
      </c>
      <c r="B370" t="s">
        <v>1186</v>
      </c>
      <c r="C370" t="s">
        <v>246</v>
      </c>
      <c r="D370" t="s">
        <v>1048</v>
      </c>
      <c r="E370" t="s">
        <v>1175</v>
      </c>
      <c r="F370">
        <v>75</v>
      </c>
      <c r="G370">
        <v>2003</v>
      </c>
      <c r="H370">
        <v>758</v>
      </c>
      <c r="I370">
        <v>0</v>
      </c>
      <c r="J370">
        <v>0</v>
      </c>
      <c r="K370">
        <v>0</v>
      </c>
    </row>
    <row r="371" spans="1:11" x14ac:dyDescent="0.25">
      <c r="A371">
        <v>12016</v>
      </c>
      <c r="B371" t="s">
        <v>315</v>
      </c>
      <c r="C371" t="s">
        <v>316</v>
      </c>
      <c r="D371" t="s">
        <v>1053</v>
      </c>
      <c r="E371" t="s">
        <v>696</v>
      </c>
      <c r="F371">
        <v>33</v>
      </c>
      <c r="G371">
        <v>1998</v>
      </c>
      <c r="H371">
        <v>475</v>
      </c>
      <c r="I371">
        <v>2.0630000000000002</v>
      </c>
      <c r="J371">
        <v>172.15199999999999</v>
      </c>
      <c r="K371">
        <v>83</v>
      </c>
    </row>
    <row r="372" spans="1:11" x14ac:dyDescent="0.25">
      <c r="A372">
        <v>14092</v>
      </c>
      <c r="B372" t="s">
        <v>1555</v>
      </c>
      <c r="C372" t="s">
        <v>206</v>
      </c>
      <c r="D372" t="s">
        <v>1053</v>
      </c>
      <c r="E372" t="s">
        <v>52</v>
      </c>
      <c r="F372">
        <v>16</v>
      </c>
      <c r="G372">
        <v>1991</v>
      </c>
      <c r="H372">
        <v>425</v>
      </c>
      <c r="I372">
        <v>1.75</v>
      </c>
      <c r="J372">
        <v>247.423</v>
      </c>
      <c r="K372">
        <v>154</v>
      </c>
    </row>
    <row r="373" spans="1:11" x14ac:dyDescent="0.25">
      <c r="A373">
        <v>24235</v>
      </c>
      <c r="B373" t="s">
        <v>317</v>
      </c>
      <c r="C373" t="s">
        <v>20</v>
      </c>
      <c r="D373" t="s">
        <v>1053</v>
      </c>
      <c r="E373" t="s">
        <v>1187</v>
      </c>
      <c r="F373">
        <v>15</v>
      </c>
      <c r="G373">
        <v>1995</v>
      </c>
      <c r="H373">
        <v>160</v>
      </c>
      <c r="I373">
        <v>26.5</v>
      </c>
      <c r="J373">
        <v>1344.066</v>
      </c>
      <c r="K373">
        <v>334</v>
      </c>
    </row>
    <row r="374" spans="1:11" x14ac:dyDescent="0.25">
      <c r="A374">
        <v>98312</v>
      </c>
      <c r="B374" t="s">
        <v>317</v>
      </c>
      <c r="C374" t="s">
        <v>318</v>
      </c>
      <c r="D374" t="s">
        <v>1053</v>
      </c>
      <c r="E374" t="s">
        <v>1187</v>
      </c>
      <c r="F374">
        <v>15</v>
      </c>
      <c r="G374">
        <v>1967</v>
      </c>
      <c r="H374">
        <v>251</v>
      </c>
      <c r="I374">
        <v>10.079000000000001</v>
      </c>
      <c r="J374">
        <v>712.53700000000003</v>
      </c>
      <c r="K374">
        <v>310</v>
      </c>
    </row>
    <row r="375" spans="1:11" x14ac:dyDescent="0.25">
      <c r="A375">
        <v>98488</v>
      </c>
      <c r="B375" t="s">
        <v>319</v>
      </c>
      <c r="C375" t="s">
        <v>320</v>
      </c>
      <c r="E375" t="s">
        <v>1187</v>
      </c>
      <c r="F375">
        <v>15</v>
      </c>
      <c r="G375">
        <v>1988</v>
      </c>
      <c r="H375">
        <v>759</v>
      </c>
      <c r="I375">
        <v>0</v>
      </c>
      <c r="J375">
        <v>0</v>
      </c>
      <c r="K375">
        <v>0</v>
      </c>
    </row>
    <row r="376" spans="1:11" x14ac:dyDescent="0.25">
      <c r="A376">
        <v>98311</v>
      </c>
      <c r="B376" t="s">
        <v>319</v>
      </c>
      <c r="C376" t="s">
        <v>16</v>
      </c>
      <c r="E376" t="s">
        <v>1187</v>
      </c>
      <c r="F376">
        <v>15</v>
      </c>
      <c r="G376">
        <v>1965</v>
      </c>
      <c r="H376">
        <v>252</v>
      </c>
      <c r="I376">
        <v>9.8290000000000006</v>
      </c>
      <c r="J376">
        <v>704.69799999999998</v>
      </c>
      <c r="K376">
        <v>310</v>
      </c>
    </row>
    <row r="377" spans="1:11" x14ac:dyDescent="0.25">
      <c r="A377">
        <v>27025</v>
      </c>
      <c r="B377" t="s">
        <v>321</v>
      </c>
      <c r="C377" t="s">
        <v>12</v>
      </c>
      <c r="E377" t="s">
        <v>1125</v>
      </c>
      <c r="F377">
        <v>44</v>
      </c>
      <c r="G377">
        <v>1985</v>
      </c>
      <c r="H377">
        <v>283</v>
      </c>
      <c r="I377">
        <v>11.125</v>
      </c>
      <c r="J377">
        <v>580.75400000000002</v>
      </c>
      <c r="K377">
        <v>84</v>
      </c>
    </row>
    <row r="378" spans="1:11" x14ac:dyDescent="0.25">
      <c r="A378">
        <v>25033</v>
      </c>
      <c r="B378" t="s">
        <v>321</v>
      </c>
      <c r="C378" t="s">
        <v>80</v>
      </c>
      <c r="E378" t="s">
        <v>1172</v>
      </c>
      <c r="F378">
        <v>24</v>
      </c>
      <c r="G378">
        <v>1963</v>
      </c>
      <c r="H378">
        <v>398</v>
      </c>
      <c r="I378">
        <v>5</v>
      </c>
      <c r="J378">
        <v>273.96600000000001</v>
      </c>
      <c r="K378">
        <v>48</v>
      </c>
    </row>
    <row r="379" spans="1:11" x14ac:dyDescent="0.25">
      <c r="A379">
        <v>26075</v>
      </c>
      <c r="B379" t="s">
        <v>322</v>
      </c>
      <c r="C379" t="s">
        <v>12</v>
      </c>
      <c r="E379" t="s">
        <v>1172</v>
      </c>
      <c r="F379">
        <v>24</v>
      </c>
      <c r="G379">
        <v>1985</v>
      </c>
      <c r="H379">
        <v>2</v>
      </c>
      <c r="I379">
        <v>64</v>
      </c>
      <c r="J379">
        <v>4790.6850000000004</v>
      </c>
      <c r="K379">
        <v>1920</v>
      </c>
    </row>
    <row r="380" spans="1:11" x14ac:dyDescent="0.25">
      <c r="A380">
        <v>16106</v>
      </c>
      <c r="B380" t="s">
        <v>322</v>
      </c>
      <c r="C380" t="s">
        <v>1724</v>
      </c>
      <c r="D380" t="s">
        <v>1048</v>
      </c>
      <c r="E380" t="s">
        <v>1101</v>
      </c>
      <c r="F380">
        <v>14</v>
      </c>
      <c r="G380">
        <v>2004</v>
      </c>
      <c r="H380">
        <v>457</v>
      </c>
      <c r="I380">
        <v>4.0309999999999997</v>
      </c>
      <c r="J380">
        <v>197.566</v>
      </c>
      <c r="K380">
        <v>61</v>
      </c>
    </row>
    <row r="381" spans="1:11" x14ac:dyDescent="0.25">
      <c r="A381">
        <v>15018</v>
      </c>
      <c r="B381" t="s">
        <v>1556</v>
      </c>
      <c r="C381" t="s">
        <v>1557</v>
      </c>
      <c r="D381" t="s">
        <v>1053</v>
      </c>
      <c r="E381" t="s">
        <v>1119</v>
      </c>
      <c r="F381">
        <v>54</v>
      </c>
      <c r="G381">
        <v>1949</v>
      </c>
      <c r="H381">
        <v>465</v>
      </c>
      <c r="I381">
        <v>3.39</v>
      </c>
      <c r="J381">
        <v>190.114</v>
      </c>
      <c r="K381">
        <v>40</v>
      </c>
    </row>
    <row r="382" spans="1:11" x14ac:dyDescent="0.25">
      <c r="A382">
        <v>15035</v>
      </c>
      <c r="B382" t="s">
        <v>323</v>
      </c>
      <c r="C382" t="s">
        <v>30</v>
      </c>
      <c r="D382" t="s">
        <v>1048</v>
      </c>
      <c r="E382" t="s">
        <v>1447</v>
      </c>
      <c r="F382">
        <v>6</v>
      </c>
      <c r="G382">
        <v>2002</v>
      </c>
      <c r="H382">
        <v>760</v>
      </c>
      <c r="I382">
        <v>0</v>
      </c>
      <c r="J382">
        <v>0</v>
      </c>
      <c r="K382">
        <v>0</v>
      </c>
    </row>
    <row r="383" spans="1:11" x14ac:dyDescent="0.25">
      <c r="A383">
        <v>97291</v>
      </c>
      <c r="B383" t="s">
        <v>323</v>
      </c>
      <c r="C383" t="s">
        <v>54</v>
      </c>
      <c r="E383" t="s">
        <v>1087</v>
      </c>
      <c r="F383">
        <v>6</v>
      </c>
      <c r="G383">
        <v>1971</v>
      </c>
      <c r="H383">
        <v>485</v>
      </c>
      <c r="I383">
        <v>4.0780000000000003</v>
      </c>
      <c r="J383">
        <v>154.761</v>
      </c>
      <c r="K383">
        <v>0</v>
      </c>
    </row>
    <row r="384" spans="1:11" x14ac:dyDescent="0.25">
      <c r="A384">
        <v>22991</v>
      </c>
      <c r="B384" t="s">
        <v>325</v>
      </c>
      <c r="C384" t="s">
        <v>133</v>
      </c>
      <c r="E384" t="s">
        <v>706</v>
      </c>
      <c r="F384">
        <v>39</v>
      </c>
      <c r="G384">
        <v>1991</v>
      </c>
      <c r="H384">
        <v>15</v>
      </c>
      <c r="I384">
        <v>37.375</v>
      </c>
      <c r="J384">
        <v>3439.462</v>
      </c>
      <c r="K384">
        <v>1669</v>
      </c>
    </row>
    <row r="385" spans="1:11" x14ac:dyDescent="0.25">
      <c r="A385">
        <v>21912</v>
      </c>
      <c r="B385" t="s">
        <v>325</v>
      </c>
      <c r="C385" t="s">
        <v>134</v>
      </c>
      <c r="E385" t="s">
        <v>706</v>
      </c>
      <c r="F385">
        <v>39</v>
      </c>
      <c r="G385">
        <v>1956</v>
      </c>
      <c r="H385">
        <v>7</v>
      </c>
      <c r="I385">
        <v>45.625</v>
      </c>
      <c r="J385">
        <v>3922.924</v>
      </c>
      <c r="K385">
        <v>1944</v>
      </c>
    </row>
    <row r="386" spans="1:11" x14ac:dyDescent="0.25">
      <c r="A386">
        <v>21913</v>
      </c>
      <c r="B386" t="s">
        <v>326</v>
      </c>
      <c r="C386" t="s">
        <v>98</v>
      </c>
      <c r="D386" t="s">
        <v>1053</v>
      </c>
      <c r="E386" t="s">
        <v>706</v>
      </c>
      <c r="F386">
        <v>39</v>
      </c>
      <c r="G386">
        <v>1957</v>
      </c>
      <c r="H386">
        <v>76</v>
      </c>
      <c r="I386">
        <v>27.780999999999999</v>
      </c>
      <c r="J386">
        <v>2184.3069999999998</v>
      </c>
      <c r="K386">
        <v>998</v>
      </c>
    </row>
    <row r="387" spans="1:11" x14ac:dyDescent="0.25">
      <c r="A387">
        <v>16062</v>
      </c>
      <c r="B387" t="s">
        <v>1558</v>
      </c>
      <c r="C387" t="s">
        <v>105</v>
      </c>
      <c r="E387" t="s">
        <v>1524</v>
      </c>
      <c r="F387">
        <v>83</v>
      </c>
      <c r="G387">
        <v>1967</v>
      </c>
      <c r="H387">
        <v>655</v>
      </c>
      <c r="I387">
        <v>1.75</v>
      </c>
      <c r="J387">
        <v>20.003</v>
      </c>
      <c r="K387">
        <v>0</v>
      </c>
    </row>
    <row r="388" spans="1:11" x14ac:dyDescent="0.25">
      <c r="A388">
        <v>13077</v>
      </c>
      <c r="B388" t="s">
        <v>1559</v>
      </c>
      <c r="C388" t="s">
        <v>16</v>
      </c>
      <c r="E388" t="s">
        <v>1162</v>
      </c>
      <c r="F388">
        <v>51</v>
      </c>
      <c r="G388">
        <v>1951</v>
      </c>
      <c r="H388">
        <v>103</v>
      </c>
      <c r="I388">
        <v>21.158000000000001</v>
      </c>
      <c r="J388">
        <v>1868.0450000000001</v>
      </c>
      <c r="K388">
        <v>947</v>
      </c>
    </row>
    <row r="389" spans="1:11" x14ac:dyDescent="0.25">
      <c r="A389">
        <v>21798</v>
      </c>
      <c r="B389" t="s">
        <v>1275</v>
      </c>
      <c r="C389" t="s">
        <v>24</v>
      </c>
      <c r="E389" t="s">
        <v>1092</v>
      </c>
      <c r="F389">
        <v>30</v>
      </c>
      <c r="G389">
        <v>1979</v>
      </c>
      <c r="H389">
        <v>568</v>
      </c>
      <c r="I389">
        <v>1.8129999999999999</v>
      </c>
      <c r="J389">
        <v>60.521000000000001</v>
      </c>
      <c r="K389">
        <v>0</v>
      </c>
    </row>
    <row r="390" spans="1:11" x14ac:dyDescent="0.25">
      <c r="A390">
        <v>13078</v>
      </c>
      <c r="B390" t="s">
        <v>1560</v>
      </c>
      <c r="C390" t="s">
        <v>120</v>
      </c>
      <c r="D390" t="s">
        <v>1053</v>
      </c>
      <c r="E390" t="s">
        <v>1162</v>
      </c>
      <c r="F390">
        <v>51</v>
      </c>
      <c r="G390">
        <v>1949</v>
      </c>
      <c r="H390">
        <v>105</v>
      </c>
      <c r="I390">
        <v>21.033000000000001</v>
      </c>
      <c r="J390">
        <v>1841.28</v>
      </c>
      <c r="K390">
        <v>939</v>
      </c>
    </row>
    <row r="391" spans="1:11" x14ac:dyDescent="0.25">
      <c r="A391">
        <v>20711</v>
      </c>
      <c r="B391" t="s">
        <v>327</v>
      </c>
      <c r="C391" t="s">
        <v>328</v>
      </c>
      <c r="E391" t="s">
        <v>1116</v>
      </c>
      <c r="F391">
        <v>20</v>
      </c>
      <c r="G391">
        <v>1977</v>
      </c>
      <c r="H391">
        <v>512</v>
      </c>
      <c r="I391">
        <v>3.3130000000000002</v>
      </c>
      <c r="J391">
        <v>122.30200000000001</v>
      </c>
      <c r="K391">
        <v>0</v>
      </c>
    </row>
    <row r="392" spans="1:11" x14ac:dyDescent="0.25">
      <c r="A392">
        <v>12031</v>
      </c>
      <c r="B392" t="s">
        <v>329</v>
      </c>
      <c r="C392" t="s">
        <v>330</v>
      </c>
      <c r="D392" t="s">
        <v>1053</v>
      </c>
      <c r="E392" t="s">
        <v>58</v>
      </c>
      <c r="F392">
        <v>73</v>
      </c>
      <c r="G392">
        <v>1940</v>
      </c>
      <c r="H392">
        <v>279</v>
      </c>
      <c r="I392">
        <v>11.15</v>
      </c>
      <c r="J392">
        <v>597.91899999999998</v>
      </c>
      <c r="K392">
        <v>128</v>
      </c>
    </row>
    <row r="393" spans="1:11" x14ac:dyDescent="0.25">
      <c r="A393">
        <v>27072</v>
      </c>
      <c r="B393" t="s">
        <v>331</v>
      </c>
      <c r="C393" t="s">
        <v>88</v>
      </c>
      <c r="E393" t="s">
        <v>1163</v>
      </c>
      <c r="F393">
        <v>61</v>
      </c>
      <c r="G393">
        <v>1983</v>
      </c>
      <c r="H393">
        <v>418</v>
      </c>
      <c r="I393">
        <v>9.3130000000000006</v>
      </c>
      <c r="J393">
        <v>253.166</v>
      </c>
      <c r="K393">
        <v>0</v>
      </c>
    </row>
    <row r="394" spans="1:11" x14ac:dyDescent="0.25">
      <c r="A394">
        <v>27074</v>
      </c>
      <c r="B394" t="s">
        <v>1561</v>
      </c>
      <c r="C394" t="s">
        <v>367</v>
      </c>
      <c r="D394" t="s">
        <v>1053</v>
      </c>
      <c r="E394" t="s">
        <v>1163</v>
      </c>
      <c r="F394">
        <v>61</v>
      </c>
      <c r="G394">
        <v>1986</v>
      </c>
      <c r="H394">
        <v>572</v>
      </c>
      <c r="I394">
        <v>1.5629999999999999</v>
      </c>
      <c r="J394">
        <v>58.704999999999998</v>
      </c>
      <c r="K394">
        <v>0</v>
      </c>
    </row>
    <row r="395" spans="1:11" x14ac:dyDescent="0.25">
      <c r="A395">
        <v>16124</v>
      </c>
      <c r="B395" t="s">
        <v>1725</v>
      </c>
      <c r="C395" t="s">
        <v>27</v>
      </c>
      <c r="D395" t="s">
        <v>1053</v>
      </c>
      <c r="E395" t="s">
        <v>58</v>
      </c>
      <c r="F395">
        <v>73</v>
      </c>
      <c r="G395">
        <v>1987</v>
      </c>
      <c r="H395">
        <v>581</v>
      </c>
      <c r="I395">
        <v>0.71099999999999997</v>
      </c>
      <c r="J395">
        <v>54.503</v>
      </c>
      <c r="K395">
        <v>20</v>
      </c>
    </row>
    <row r="396" spans="1:11" x14ac:dyDescent="0.25">
      <c r="A396">
        <v>13072</v>
      </c>
      <c r="B396" t="s">
        <v>1562</v>
      </c>
      <c r="C396" t="s">
        <v>206</v>
      </c>
      <c r="D396" t="s">
        <v>1053</v>
      </c>
      <c r="E396" t="s">
        <v>1170</v>
      </c>
      <c r="F396">
        <v>55</v>
      </c>
      <c r="G396">
        <v>1977</v>
      </c>
      <c r="H396">
        <v>253</v>
      </c>
      <c r="I396">
        <v>8.11</v>
      </c>
      <c r="J396">
        <v>703.67700000000002</v>
      </c>
      <c r="K396">
        <v>338</v>
      </c>
    </row>
    <row r="397" spans="1:11" x14ac:dyDescent="0.25">
      <c r="A397">
        <v>26039</v>
      </c>
      <c r="B397" t="s">
        <v>332</v>
      </c>
      <c r="C397" t="s">
        <v>24</v>
      </c>
      <c r="E397" t="s">
        <v>1174</v>
      </c>
      <c r="F397">
        <v>28</v>
      </c>
      <c r="G397">
        <v>1984</v>
      </c>
      <c r="H397">
        <v>574</v>
      </c>
      <c r="I397">
        <v>1.6259999999999999</v>
      </c>
      <c r="J397">
        <v>57.664000000000001</v>
      </c>
      <c r="K397">
        <v>0</v>
      </c>
    </row>
    <row r="398" spans="1:11" x14ac:dyDescent="0.25">
      <c r="A398">
        <v>15072</v>
      </c>
      <c r="B398" t="s">
        <v>1563</v>
      </c>
      <c r="C398" t="s">
        <v>92</v>
      </c>
      <c r="D398" t="s">
        <v>1048</v>
      </c>
      <c r="E398" t="s">
        <v>1095</v>
      </c>
      <c r="F398">
        <v>52</v>
      </c>
      <c r="G398">
        <v>2006</v>
      </c>
      <c r="H398">
        <v>761</v>
      </c>
      <c r="I398">
        <v>0</v>
      </c>
      <c r="J398">
        <v>0</v>
      </c>
      <c r="K398">
        <v>0</v>
      </c>
    </row>
    <row r="399" spans="1:11" x14ac:dyDescent="0.25">
      <c r="A399">
        <v>24224</v>
      </c>
      <c r="B399" t="s">
        <v>333</v>
      </c>
      <c r="C399" t="s">
        <v>34</v>
      </c>
      <c r="E399" t="s">
        <v>1162</v>
      </c>
      <c r="F399">
        <v>51</v>
      </c>
      <c r="G399">
        <v>1964</v>
      </c>
      <c r="H399">
        <v>762</v>
      </c>
      <c r="I399">
        <v>0</v>
      </c>
      <c r="J399">
        <v>0</v>
      </c>
      <c r="K399">
        <v>0</v>
      </c>
    </row>
    <row r="400" spans="1:11" x14ac:dyDescent="0.25">
      <c r="A400">
        <v>15045</v>
      </c>
      <c r="B400" t="s">
        <v>1564</v>
      </c>
      <c r="C400" t="s">
        <v>143</v>
      </c>
      <c r="D400" t="s">
        <v>1053</v>
      </c>
      <c r="E400" t="s">
        <v>1167</v>
      </c>
      <c r="F400">
        <v>70</v>
      </c>
      <c r="G400">
        <v>1939</v>
      </c>
      <c r="H400">
        <v>631</v>
      </c>
      <c r="I400">
        <v>0.71899999999999997</v>
      </c>
      <c r="J400">
        <v>31.408999999999999</v>
      </c>
      <c r="K400">
        <v>0</v>
      </c>
    </row>
    <row r="401" spans="1:11" x14ac:dyDescent="0.25">
      <c r="A401">
        <v>29058</v>
      </c>
      <c r="B401" t="s">
        <v>334</v>
      </c>
      <c r="C401" t="s">
        <v>73</v>
      </c>
      <c r="E401" t="s">
        <v>1142</v>
      </c>
      <c r="F401">
        <v>64</v>
      </c>
      <c r="G401">
        <v>1958</v>
      </c>
      <c r="H401">
        <v>80</v>
      </c>
      <c r="I401">
        <v>27.344000000000001</v>
      </c>
      <c r="J401">
        <v>2130.654</v>
      </c>
      <c r="K401">
        <v>938</v>
      </c>
    </row>
    <row r="402" spans="1:11" x14ac:dyDescent="0.25">
      <c r="A402">
        <v>12006</v>
      </c>
      <c r="B402" t="s">
        <v>335</v>
      </c>
      <c r="C402" t="s">
        <v>26</v>
      </c>
      <c r="D402" t="s">
        <v>1053</v>
      </c>
      <c r="E402" t="s">
        <v>1103</v>
      </c>
      <c r="F402">
        <v>48</v>
      </c>
      <c r="G402">
        <v>1997</v>
      </c>
      <c r="H402">
        <v>129</v>
      </c>
      <c r="I402">
        <v>17.503</v>
      </c>
      <c r="J402">
        <v>1647.9380000000001</v>
      </c>
      <c r="K402">
        <v>880</v>
      </c>
    </row>
    <row r="403" spans="1:11" x14ac:dyDescent="0.25">
      <c r="A403">
        <v>20626</v>
      </c>
      <c r="B403" t="s">
        <v>336</v>
      </c>
      <c r="C403" t="s">
        <v>111</v>
      </c>
      <c r="E403" t="s">
        <v>230</v>
      </c>
      <c r="F403">
        <v>10</v>
      </c>
      <c r="G403">
        <v>1973</v>
      </c>
      <c r="H403">
        <v>607</v>
      </c>
      <c r="I403">
        <v>2</v>
      </c>
      <c r="J403">
        <v>41.98</v>
      </c>
      <c r="K403">
        <v>0</v>
      </c>
    </row>
    <row r="404" spans="1:11" x14ac:dyDescent="0.25">
      <c r="A404">
        <v>26005</v>
      </c>
      <c r="B404" t="s">
        <v>337</v>
      </c>
      <c r="C404" t="s">
        <v>194</v>
      </c>
      <c r="D404" t="s">
        <v>1053</v>
      </c>
      <c r="E404" t="s">
        <v>230</v>
      </c>
      <c r="F404">
        <v>10</v>
      </c>
      <c r="G404">
        <v>1970</v>
      </c>
      <c r="H404">
        <v>763</v>
      </c>
      <c r="I404">
        <v>0</v>
      </c>
      <c r="J404">
        <v>0</v>
      </c>
      <c r="K404">
        <v>0</v>
      </c>
    </row>
    <row r="405" spans="1:11" x14ac:dyDescent="0.25">
      <c r="A405">
        <v>10082</v>
      </c>
      <c r="B405" t="s">
        <v>338</v>
      </c>
      <c r="C405" t="s">
        <v>287</v>
      </c>
      <c r="E405" t="s">
        <v>1134</v>
      </c>
      <c r="F405">
        <v>69</v>
      </c>
      <c r="G405">
        <v>1961</v>
      </c>
      <c r="H405">
        <v>98</v>
      </c>
      <c r="I405">
        <v>23.314</v>
      </c>
      <c r="J405">
        <v>1944.3140000000001</v>
      </c>
      <c r="K405">
        <v>881</v>
      </c>
    </row>
    <row r="406" spans="1:11" x14ac:dyDescent="0.25">
      <c r="A406">
        <v>22979</v>
      </c>
      <c r="B406" t="s">
        <v>339</v>
      </c>
      <c r="C406" t="s">
        <v>340</v>
      </c>
      <c r="E406" t="s">
        <v>680</v>
      </c>
      <c r="F406">
        <v>19</v>
      </c>
      <c r="G406">
        <v>1977</v>
      </c>
      <c r="H406">
        <v>537</v>
      </c>
      <c r="I406">
        <v>1.3440000000000001</v>
      </c>
      <c r="J406">
        <v>88.147999999999996</v>
      </c>
      <c r="K406">
        <v>40</v>
      </c>
    </row>
    <row r="407" spans="1:11" x14ac:dyDescent="0.25">
      <c r="A407">
        <v>24155</v>
      </c>
      <c r="B407" t="s">
        <v>341</v>
      </c>
      <c r="C407" t="s">
        <v>67</v>
      </c>
      <c r="E407" t="s">
        <v>1172</v>
      </c>
      <c r="F407">
        <v>24</v>
      </c>
      <c r="G407">
        <v>1944</v>
      </c>
      <c r="H407">
        <v>199</v>
      </c>
      <c r="I407">
        <v>12.368</v>
      </c>
      <c r="J407">
        <v>1021.21</v>
      </c>
      <c r="K407">
        <v>455</v>
      </c>
    </row>
    <row r="408" spans="1:11" x14ac:dyDescent="0.25">
      <c r="A408">
        <v>15037</v>
      </c>
      <c r="B408" t="s">
        <v>341</v>
      </c>
      <c r="C408" t="s">
        <v>39</v>
      </c>
      <c r="E408" t="s">
        <v>1447</v>
      </c>
      <c r="F408">
        <v>6</v>
      </c>
      <c r="G408">
        <v>1975</v>
      </c>
      <c r="H408">
        <v>619</v>
      </c>
      <c r="I408">
        <v>0.5</v>
      </c>
      <c r="J408">
        <v>37.247999999999998</v>
      </c>
      <c r="K408">
        <v>15</v>
      </c>
    </row>
    <row r="409" spans="1:11" x14ac:dyDescent="0.25">
      <c r="A409">
        <v>99502</v>
      </c>
      <c r="B409" t="s">
        <v>342</v>
      </c>
      <c r="C409" t="s">
        <v>67</v>
      </c>
      <c r="E409" t="s">
        <v>52</v>
      </c>
      <c r="F409">
        <v>16</v>
      </c>
      <c r="G409">
        <v>1952</v>
      </c>
      <c r="H409">
        <v>384</v>
      </c>
      <c r="I409">
        <v>6</v>
      </c>
      <c r="J409">
        <v>312.92599999999999</v>
      </c>
      <c r="K409">
        <v>165</v>
      </c>
    </row>
    <row r="410" spans="1:11" x14ac:dyDescent="0.25">
      <c r="A410">
        <v>12038</v>
      </c>
      <c r="B410" t="s">
        <v>343</v>
      </c>
      <c r="C410" t="s">
        <v>344</v>
      </c>
      <c r="E410" t="s">
        <v>58</v>
      </c>
      <c r="F410">
        <v>73</v>
      </c>
      <c r="G410">
        <v>1955</v>
      </c>
      <c r="H410">
        <v>70</v>
      </c>
      <c r="I410">
        <v>25.687999999999999</v>
      </c>
      <c r="J410">
        <v>2258.7370000000001</v>
      </c>
      <c r="K410">
        <v>1130</v>
      </c>
    </row>
    <row r="411" spans="1:11" x14ac:dyDescent="0.25">
      <c r="A411">
        <v>12037</v>
      </c>
      <c r="B411" t="s">
        <v>345</v>
      </c>
      <c r="C411" t="s">
        <v>346</v>
      </c>
      <c r="D411" t="s">
        <v>1053</v>
      </c>
      <c r="E411" t="s">
        <v>58</v>
      </c>
      <c r="F411">
        <v>73</v>
      </c>
      <c r="G411">
        <v>1951</v>
      </c>
      <c r="H411">
        <v>59</v>
      </c>
      <c r="I411">
        <v>26.437999999999999</v>
      </c>
      <c r="J411">
        <v>2411.3670000000002</v>
      </c>
      <c r="K411">
        <v>1207</v>
      </c>
    </row>
    <row r="412" spans="1:11" x14ac:dyDescent="0.25">
      <c r="A412">
        <v>16052</v>
      </c>
      <c r="B412" t="s">
        <v>1726</v>
      </c>
      <c r="C412" t="s">
        <v>1565</v>
      </c>
      <c r="D412" t="s">
        <v>1053</v>
      </c>
      <c r="E412" t="s">
        <v>1453</v>
      </c>
      <c r="F412">
        <v>82</v>
      </c>
      <c r="G412">
        <v>1976</v>
      </c>
      <c r="H412">
        <v>445</v>
      </c>
      <c r="I412">
        <v>2.7810000000000001</v>
      </c>
      <c r="J412">
        <v>224.167</v>
      </c>
      <c r="K412">
        <v>94</v>
      </c>
    </row>
    <row r="413" spans="1:11" x14ac:dyDescent="0.25">
      <c r="A413">
        <v>16060</v>
      </c>
      <c r="B413" t="s">
        <v>1566</v>
      </c>
      <c r="C413" t="s">
        <v>33</v>
      </c>
      <c r="E413" t="s">
        <v>1524</v>
      </c>
      <c r="F413">
        <v>83</v>
      </c>
      <c r="G413">
        <v>1972</v>
      </c>
      <c r="H413">
        <v>280</v>
      </c>
      <c r="I413">
        <v>7.282</v>
      </c>
      <c r="J413">
        <v>595.87599999999998</v>
      </c>
      <c r="K413">
        <v>287</v>
      </c>
    </row>
    <row r="414" spans="1:11" x14ac:dyDescent="0.25">
      <c r="A414">
        <v>29039</v>
      </c>
      <c r="B414" t="s">
        <v>347</v>
      </c>
      <c r="C414" t="s">
        <v>20</v>
      </c>
      <c r="D414" t="s">
        <v>1053</v>
      </c>
      <c r="E414" t="s">
        <v>1101</v>
      </c>
      <c r="F414">
        <v>14</v>
      </c>
      <c r="G414">
        <v>1956</v>
      </c>
      <c r="H414">
        <v>24</v>
      </c>
      <c r="I414">
        <v>39.25</v>
      </c>
      <c r="J414">
        <v>3183.36</v>
      </c>
      <c r="K414">
        <v>1663</v>
      </c>
    </row>
    <row r="415" spans="1:11" x14ac:dyDescent="0.25">
      <c r="A415">
        <v>16104</v>
      </c>
      <c r="B415" t="s">
        <v>347</v>
      </c>
      <c r="C415" t="s">
        <v>150</v>
      </c>
      <c r="D415" t="s">
        <v>1053</v>
      </c>
      <c r="E415" t="s">
        <v>1101</v>
      </c>
      <c r="F415">
        <v>14</v>
      </c>
      <c r="G415">
        <v>1986</v>
      </c>
      <c r="H415">
        <v>516</v>
      </c>
      <c r="I415">
        <v>1.0309999999999999</v>
      </c>
      <c r="J415">
        <v>113.048</v>
      </c>
      <c r="K415">
        <v>63</v>
      </c>
    </row>
    <row r="416" spans="1:11" x14ac:dyDescent="0.25">
      <c r="A416">
        <v>16105</v>
      </c>
      <c r="B416" t="s">
        <v>348</v>
      </c>
      <c r="C416" t="s">
        <v>166</v>
      </c>
      <c r="E416" t="s">
        <v>1101</v>
      </c>
      <c r="F416">
        <v>14</v>
      </c>
      <c r="G416">
        <v>1959</v>
      </c>
      <c r="H416">
        <v>508</v>
      </c>
      <c r="I416">
        <v>1.6559999999999999</v>
      </c>
      <c r="J416">
        <v>124.19</v>
      </c>
      <c r="K416">
        <v>61</v>
      </c>
    </row>
    <row r="417" spans="1:11" x14ac:dyDescent="0.25">
      <c r="A417">
        <v>29040</v>
      </c>
      <c r="B417" t="s">
        <v>348</v>
      </c>
      <c r="C417" t="s">
        <v>33</v>
      </c>
      <c r="E417" t="s">
        <v>1101</v>
      </c>
      <c r="F417">
        <v>14</v>
      </c>
      <c r="G417">
        <v>1961</v>
      </c>
      <c r="H417">
        <v>22</v>
      </c>
      <c r="I417">
        <v>41.75</v>
      </c>
      <c r="J417">
        <v>3202.3589999999999</v>
      </c>
      <c r="K417">
        <v>1659</v>
      </c>
    </row>
    <row r="418" spans="1:11" x14ac:dyDescent="0.25">
      <c r="A418">
        <v>11045</v>
      </c>
      <c r="B418" t="s">
        <v>349</v>
      </c>
      <c r="C418" t="s">
        <v>46</v>
      </c>
      <c r="E418" t="s">
        <v>1164</v>
      </c>
      <c r="F418">
        <v>2</v>
      </c>
      <c r="G418">
        <v>1954</v>
      </c>
      <c r="H418">
        <v>307</v>
      </c>
      <c r="I418">
        <v>7</v>
      </c>
      <c r="J418">
        <v>520.41800000000001</v>
      </c>
      <c r="K418">
        <v>227</v>
      </c>
    </row>
    <row r="419" spans="1:11" x14ac:dyDescent="0.25">
      <c r="A419">
        <v>21776</v>
      </c>
      <c r="B419" t="s">
        <v>1567</v>
      </c>
      <c r="C419" t="s">
        <v>187</v>
      </c>
      <c r="E419" t="s">
        <v>678</v>
      </c>
      <c r="F419">
        <v>17</v>
      </c>
      <c r="G419">
        <v>1971</v>
      </c>
      <c r="H419">
        <v>447</v>
      </c>
      <c r="I419">
        <v>2.5</v>
      </c>
      <c r="J419">
        <v>218.011</v>
      </c>
      <c r="K419">
        <v>107</v>
      </c>
    </row>
    <row r="420" spans="1:11" x14ac:dyDescent="0.25">
      <c r="A420">
        <v>15013</v>
      </c>
      <c r="B420" t="s">
        <v>1568</v>
      </c>
      <c r="C420" t="s">
        <v>256</v>
      </c>
      <c r="D420" t="s">
        <v>1053</v>
      </c>
      <c r="E420" t="s">
        <v>678</v>
      </c>
      <c r="F420">
        <v>17</v>
      </c>
      <c r="G420">
        <v>1972</v>
      </c>
      <c r="H420">
        <v>466</v>
      </c>
      <c r="I420">
        <v>1.5940000000000001</v>
      </c>
      <c r="J420">
        <v>189.43</v>
      </c>
      <c r="K420">
        <v>116</v>
      </c>
    </row>
    <row r="421" spans="1:11" x14ac:dyDescent="0.25">
      <c r="A421">
        <v>15050</v>
      </c>
      <c r="B421" t="s">
        <v>1569</v>
      </c>
      <c r="C421" t="s">
        <v>98</v>
      </c>
      <c r="D421" t="s">
        <v>1053</v>
      </c>
      <c r="E421" t="s">
        <v>696</v>
      </c>
      <c r="F421">
        <v>33</v>
      </c>
      <c r="G421">
        <v>1949</v>
      </c>
      <c r="H421">
        <v>636</v>
      </c>
      <c r="I421">
        <v>0.75</v>
      </c>
      <c r="J421">
        <v>30.585999999999999</v>
      </c>
      <c r="K421">
        <v>0</v>
      </c>
    </row>
    <row r="422" spans="1:11" x14ac:dyDescent="0.25">
      <c r="A422">
        <v>26043</v>
      </c>
      <c r="B422" t="s">
        <v>350</v>
      </c>
      <c r="C422" t="s">
        <v>16</v>
      </c>
      <c r="E422" t="s">
        <v>107</v>
      </c>
      <c r="F422">
        <v>45</v>
      </c>
      <c r="G422">
        <v>1969</v>
      </c>
      <c r="H422">
        <v>146</v>
      </c>
      <c r="I422">
        <v>17.155999999999999</v>
      </c>
      <c r="J422">
        <v>1504.0940000000001</v>
      </c>
      <c r="K422">
        <v>722</v>
      </c>
    </row>
    <row r="423" spans="1:11" x14ac:dyDescent="0.25">
      <c r="A423">
        <v>26044</v>
      </c>
      <c r="B423" t="s">
        <v>351</v>
      </c>
      <c r="C423" t="s">
        <v>352</v>
      </c>
      <c r="D423" t="s">
        <v>1053</v>
      </c>
      <c r="E423" t="s">
        <v>107</v>
      </c>
      <c r="F423">
        <v>45</v>
      </c>
      <c r="G423">
        <v>1982</v>
      </c>
      <c r="H423">
        <v>561</v>
      </c>
      <c r="I423">
        <v>0.95299999999999996</v>
      </c>
      <c r="J423">
        <v>66.137</v>
      </c>
      <c r="K423">
        <v>20</v>
      </c>
    </row>
    <row r="424" spans="1:11" x14ac:dyDescent="0.25">
      <c r="A424">
        <v>16041</v>
      </c>
      <c r="B424" t="s">
        <v>1570</v>
      </c>
      <c r="C424" t="s">
        <v>120</v>
      </c>
      <c r="D424" t="s">
        <v>1053</v>
      </c>
      <c r="E424" t="s">
        <v>1167</v>
      </c>
      <c r="F424">
        <v>70</v>
      </c>
      <c r="G424">
        <v>1936</v>
      </c>
      <c r="H424">
        <v>550</v>
      </c>
      <c r="I424">
        <v>1.6879999999999999</v>
      </c>
      <c r="J424">
        <v>75.069000000000003</v>
      </c>
      <c r="K424">
        <v>0</v>
      </c>
    </row>
    <row r="425" spans="1:11" x14ac:dyDescent="0.25">
      <c r="A425">
        <v>26025</v>
      </c>
      <c r="B425" t="s">
        <v>353</v>
      </c>
      <c r="C425" t="s">
        <v>122</v>
      </c>
      <c r="D425" t="s">
        <v>1053</v>
      </c>
      <c r="E425" t="s">
        <v>1122</v>
      </c>
      <c r="F425">
        <v>63</v>
      </c>
      <c r="G425">
        <v>1971</v>
      </c>
      <c r="H425">
        <v>228</v>
      </c>
      <c r="I425">
        <v>14.625</v>
      </c>
      <c r="J425">
        <v>838.27800000000002</v>
      </c>
      <c r="K425">
        <v>264</v>
      </c>
    </row>
    <row r="426" spans="1:11" x14ac:dyDescent="0.25">
      <c r="A426">
        <v>24236</v>
      </c>
      <c r="B426" t="s">
        <v>354</v>
      </c>
      <c r="C426" t="s">
        <v>223</v>
      </c>
      <c r="E426" t="s">
        <v>680</v>
      </c>
      <c r="F426">
        <v>19</v>
      </c>
      <c r="G426">
        <v>1959</v>
      </c>
      <c r="H426">
        <v>201</v>
      </c>
      <c r="I426">
        <v>11.641</v>
      </c>
      <c r="J426">
        <v>1020.194</v>
      </c>
      <c r="K426">
        <v>513</v>
      </c>
    </row>
    <row r="427" spans="1:11" x14ac:dyDescent="0.25">
      <c r="A427">
        <v>16042</v>
      </c>
      <c r="B427" t="s">
        <v>1571</v>
      </c>
      <c r="C427" t="s">
        <v>15</v>
      </c>
      <c r="E427" t="s">
        <v>1167</v>
      </c>
      <c r="F427">
        <v>70</v>
      </c>
      <c r="G427">
        <v>1938</v>
      </c>
      <c r="H427">
        <v>764</v>
      </c>
      <c r="I427">
        <v>0</v>
      </c>
      <c r="J427">
        <v>0</v>
      </c>
      <c r="K427">
        <v>0</v>
      </c>
    </row>
    <row r="428" spans="1:11" x14ac:dyDescent="0.25">
      <c r="A428">
        <v>10044</v>
      </c>
      <c r="B428" t="s">
        <v>355</v>
      </c>
      <c r="C428" t="s">
        <v>67</v>
      </c>
      <c r="E428" t="s">
        <v>168</v>
      </c>
      <c r="F428">
        <v>68</v>
      </c>
      <c r="G428">
        <v>1978</v>
      </c>
      <c r="H428">
        <v>118</v>
      </c>
      <c r="I428">
        <v>22.172999999999998</v>
      </c>
      <c r="J428">
        <v>1754.579</v>
      </c>
      <c r="K428">
        <v>790</v>
      </c>
    </row>
    <row r="429" spans="1:11" x14ac:dyDescent="0.25">
      <c r="A429">
        <v>12069</v>
      </c>
      <c r="B429" t="s">
        <v>1189</v>
      </c>
      <c r="C429" t="s">
        <v>39</v>
      </c>
      <c r="E429" t="s">
        <v>168</v>
      </c>
      <c r="F429">
        <v>68</v>
      </c>
      <c r="G429">
        <v>1976</v>
      </c>
      <c r="H429">
        <v>195</v>
      </c>
      <c r="I429">
        <v>16.172000000000001</v>
      </c>
      <c r="J429">
        <v>1079.7270000000001</v>
      </c>
      <c r="K429">
        <v>384</v>
      </c>
    </row>
    <row r="430" spans="1:11" x14ac:dyDescent="0.25">
      <c r="A430">
        <v>10085</v>
      </c>
      <c r="B430" t="s">
        <v>356</v>
      </c>
      <c r="C430" t="s">
        <v>15</v>
      </c>
      <c r="E430" t="s">
        <v>1134</v>
      </c>
      <c r="F430">
        <v>69</v>
      </c>
      <c r="G430">
        <v>1961</v>
      </c>
      <c r="H430">
        <v>200</v>
      </c>
      <c r="I430">
        <v>13.188000000000001</v>
      </c>
      <c r="J430">
        <v>1021.051</v>
      </c>
      <c r="K430">
        <v>444</v>
      </c>
    </row>
    <row r="431" spans="1:11" x14ac:dyDescent="0.25">
      <c r="A431">
        <v>13019</v>
      </c>
      <c r="B431" t="s">
        <v>357</v>
      </c>
      <c r="C431" t="s">
        <v>1190</v>
      </c>
      <c r="E431" t="s">
        <v>1175</v>
      </c>
      <c r="F431">
        <v>75</v>
      </c>
      <c r="G431">
        <v>1996</v>
      </c>
      <c r="H431">
        <v>765</v>
      </c>
      <c r="I431">
        <v>0</v>
      </c>
      <c r="J431">
        <v>0</v>
      </c>
      <c r="K431">
        <v>0</v>
      </c>
    </row>
    <row r="432" spans="1:11" x14ac:dyDescent="0.25">
      <c r="A432">
        <v>13018</v>
      </c>
      <c r="B432" t="s">
        <v>357</v>
      </c>
      <c r="C432" t="s">
        <v>1191</v>
      </c>
      <c r="E432" t="s">
        <v>1175</v>
      </c>
      <c r="F432">
        <v>75</v>
      </c>
      <c r="G432">
        <v>1965</v>
      </c>
      <c r="H432">
        <v>653</v>
      </c>
      <c r="I432">
        <v>0.56299999999999994</v>
      </c>
      <c r="J432">
        <v>21.527000000000001</v>
      </c>
      <c r="K432">
        <v>0</v>
      </c>
    </row>
    <row r="433" spans="1:11" x14ac:dyDescent="0.25">
      <c r="A433">
        <v>10043</v>
      </c>
      <c r="B433" t="s">
        <v>359</v>
      </c>
      <c r="C433" t="s">
        <v>360</v>
      </c>
      <c r="D433" t="s">
        <v>1053</v>
      </c>
      <c r="E433" t="s">
        <v>168</v>
      </c>
      <c r="F433">
        <v>68</v>
      </c>
      <c r="G433">
        <v>1958</v>
      </c>
      <c r="H433">
        <v>498</v>
      </c>
      <c r="I433">
        <v>0.98399999999999999</v>
      </c>
      <c r="J433">
        <v>135.83799999999999</v>
      </c>
      <c r="K433">
        <v>90</v>
      </c>
    </row>
    <row r="434" spans="1:11" x14ac:dyDescent="0.25">
      <c r="A434">
        <v>11006</v>
      </c>
      <c r="B434" t="s">
        <v>361</v>
      </c>
      <c r="C434" t="s">
        <v>32</v>
      </c>
      <c r="E434" t="s">
        <v>1119</v>
      </c>
      <c r="F434">
        <v>54</v>
      </c>
      <c r="G434">
        <v>1957</v>
      </c>
      <c r="H434">
        <v>81</v>
      </c>
      <c r="I434">
        <v>26.5</v>
      </c>
      <c r="J434">
        <v>2104.806</v>
      </c>
      <c r="K434">
        <v>1184</v>
      </c>
    </row>
    <row r="435" spans="1:11" x14ac:dyDescent="0.25">
      <c r="A435">
        <v>11047</v>
      </c>
      <c r="B435" t="s">
        <v>362</v>
      </c>
      <c r="C435" t="s">
        <v>34</v>
      </c>
      <c r="E435" t="s">
        <v>168</v>
      </c>
      <c r="F435">
        <v>68</v>
      </c>
      <c r="G435">
        <v>1979</v>
      </c>
      <c r="H435">
        <v>443</v>
      </c>
      <c r="I435">
        <v>5.4690000000000003</v>
      </c>
      <c r="J435">
        <v>226.34200000000001</v>
      </c>
      <c r="K435">
        <v>0</v>
      </c>
    </row>
    <row r="436" spans="1:11" x14ac:dyDescent="0.25">
      <c r="A436">
        <v>15086</v>
      </c>
      <c r="B436" t="s">
        <v>1572</v>
      </c>
      <c r="C436" t="s">
        <v>78</v>
      </c>
      <c r="E436" t="s">
        <v>1176</v>
      </c>
      <c r="F436">
        <v>42</v>
      </c>
      <c r="G436">
        <v>1951</v>
      </c>
      <c r="H436">
        <v>217</v>
      </c>
      <c r="I436">
        <v>12.000999999999999</v>
      </c>
      <c r="J436">
        <v>926.61900000000003</v>
      </c>
      <c r="K436">
        <v>381</v>
      </c>
    </row>
    <row r="437" spans="1:11" x14ac:dyDescent="0.25">
      <c r="A437">
        <v>27030</v>
      </c>
      <c r="B437" t="s">
        <v>363</v>
      </c>
      <c r="C437" t="s">
        <v>293</v>
      </c>
      <c r="D437" t="s">
        <v>1053</v>
      </c>
      <c r="E437" t="s">
        <v>1182</v>
      </c>
      <c r="F437">
        <v>56</v>
      </c>
      <c r="G437">
        <v>1962</v>
      </c>
      <c r="H437">
        <v>53</v>
      </c>
      <c r="I437">
        <v>27.687999999999999</v>
      </c>
      <c r="J437">
        <v>2521.0630000000001</v>
      </c>
      <c r="K437">
        <v>1316</v>
      </c>
    </row>
    <row r="438" spans="1:11" x14ac:dyDescent="0.25">
      <c r="A438">
        <v>25061</v>
      </c>
      <c r="B438" t="s">
        <v>364</v>
      </c>
      <c r="C438" t="s">
        <v>34</v>
      </c>
      <c r="E438" t="s">
        <v>1182</v>
      </c>
      <c r="F438">
        <v>56</v>
      </c>
      <c r="G438">
        <v>1988</v>
      </c>
      <c r="H438">
        <v>47</v>
      </c>
      <c r="I438">
        <v>41.75</v>
      </c>
      <c r="J438">
        <v>2669.1909999999998</v>
      </c>
      <c r="K438">
        <v>951</v>
      </c>
    </row>
    <row r="439" spans="1:11" x14ac:dyDescent="0.25">
      <c r="A439">
        <v>27083</v>
      </c>
      <c r="B439" t="s">
        <v>365</v>
      </c>
      <c r="C439" t="s">
        <v>147</v>
      </c>
      <c r="E439" t="s">
        <v>1172</v>
      </c>
      <c r="F439">
        <v>24</v>
      </c>
      <c r="G439">
        <v>1966</v>
      </c>
      <c r="H439">
        <v>369</v>
      </c>
      <c r="I439">
        <v>7.1870000000000003</v>
      </c>
      <c r="J439">
        <v>366.94799999999998</v>
      </c>
      <c r="K439">
        <v>78</v>
      </c>
    </row>
    <row r="440" spans="1:11" x14ac:dyDescent="0.25">
      <c r="A440">
        <v>12025</v>
      </c>
      <c r="B440" t="s">
        <v>366</v>
      </c>
      <c r="C440" t="s">
        <v>109</v>
      </c>
      <c r="D440" t="s">
        <v>1053</v>
      </c>
      <c r="E440" t="s">
        <v>1167</v>
      </c>
      <c r="F440">
        <v>70</v>
      </c>
      <c r="G440">
        <v>1946</v>
      </c>
      <c r="H440">
        <v>766</v>
      </c>
      <c r="I440">
        <v>0</v>
      </c>
      <c r="J440">
        <v>0</v>
      </c>
      <c r="K440">
        <v>0</v>
      </c>
    </row>
    <row r="441" spans="1:11" x14ac:dyDescent="0.25">
      <c r="A441">
        <v>13075</v>
      </c>
      <c r="B441" t="s">
        <v>366</v>
      </c>
      <c r="C441" t="s">
        <v>441</v>
      </c>
      <c r="D441" t="s">
        <v>1053</v>
      </c>
      <c r="E441" t="s">
        <v>1103</v>
      </c>
      <c r="F441">
        <v>48</v>
      </c>
      <c r="G441">
        <v>1986</v>
      </c>
      <c r="H441">
        <v>767</v>
      </c>
      <c r="I441">
        <v>0</v>
      </c>
      <c r="J441">
        <v>0</v>
      </c>
      <c r="K441">
        <v>0</v>
      </c>
    </row>
    <row r="442" spans="1:11" x14ac:dyDescent="0.25">
      <c r="A442">
        <v>22980</v>
      </c>
      <c r="B442" t="s">
        <v>368</v>
      </c>
      <c r="C442" t="s">
        <v>54</v>
      </c>
      <c r="E442" t="s">
        <v>680</v>
      </c>
      <c r="F442">
        <v>19</v>
      </c>
      <c r="G442">
        <v>1972</v>
      </c>
      <c r="H442">
        <v>768</v>
      </c>
      <c r="I442">
        <v>0</v>
      </c>
      <c r="J442">
        <v>0</v>
      </c>
      <c r="K442">
        <v>0</v>
      </c>
    </row>
    <row r="443" spans="1:11" x14ac:dyDescent="0.25">
      <c r="A443">
        <v>12003</v>
      </c>
      <c r="B443" t="s">
        <v>369</v>
      </c>
      <c r="C443" t="s">
        <v>370</v>
      </c>
      <c r="E443" t="s">
        <v>1174</v>
      </c>
      <c r="F443">
        <v>28</v>
      </c>
      <c r="G443">
        <v>1948</v>
      </c>
      <c r="H443">
        <v>659</v>
      </c>
      <c r="I443">
        <v>0.438</v>
      </c>
      <c r="J443">
        <v>16.085999999999999</v>
      </c>
      <c r="K443">
        <v>0</v>
      </c>
    </row>
    <row r="444" spans="1:11" x14ac:dyDescent="0.25">
      <c r="A444">
        <v>16080</v>
      </c>
      <c r="B444" t="s">
        <v>1573</v>
      </c>
      <c r="C444" t="s">
        <v>1574</v>
      </c>
      <c r="E444" t="s">
        <v>1441</v>
      </c>
      <c r="F444">
        <v>84</v>
      </c>
      <c r="G444">
        <v>1942</v>
      </c>
      <c r="H444">
        <v>769</v>
      </c>
      <c r="I444">
        <v>0</v>
      </c>
      <c r="J444">
        <v>0</v>
      </c>
      <c r="K444">
        <v>0</v>
      </c>
    </row>
    <row r="445" spans="1:11" x14ac:dyDescent="0.25">
      <c r="A445">
        <v>15015</v>
      </c>
      <c r="B445" t="s">
        <v>1575</v>
      </c>
      <c r="C445" t="s">
        <v>1576</v>
      </c>
      <c r="E445" t="s">
        <v>1119</v>
      </c>
      <c r="F445">
        <v>54</v>
      </c>
      <c r="G445">
        <v>1978</v>
      </c>
      <c r="H445">
        <v>248</v>
      </c>
      <c r="I445">
        <v>14.827999999999999</v>
      </c>
      <c r="J445">
        <v>731.00199999999995</v>
      </c>
      <c r="K445">
        <v>166</v>
      </c>
    </row>
    <row r="446" spans="1:11" x14ac:dyDescent="0.25">
      <c r="A446">
        <v>99539</v>
      </c>
      <c r="B446" t="s">
        <v>372</v>
      </c>
      <c r="C446" t="s">
        <v>373</v>
      </c>
      <c r="E446" t="s">
        <v>1119</v>
      </c>
      <c r="F446">
        <v>54</v>
      </c>
      <c r="G446">
        <v>1974</v>
      </c>
      <c r="H446">
        <v>196</v>
      </c>
      <c r="I446">
        <v>12.07</v>
      </c>
      <c r="J446">
        <v>1065.2190000000001</v>
      </c>
      <c r="K446">
        <v>473</v>
      </c>
    </row>
    <row r="447" spans="1:11" x14ac:dyDescent="0.25">
      <c r="A447">
        <v>20730</v>
      </c>
      <c r="B447" t="s">
        <v>372</v>
      </c>
      <c r="C447" t="s">
        <v>117</v>
      </c>
      <c r="E447" t="s">
        <v>1119</v>
      </c>
      <c r="F447">
        <v>54</v>
      </c>
      <c r="G447">
        <v>1952</v>
      </c>
      <c r="H447">
        <v>173</v>
      </c>
      <c r="I447">
        <v>15.766999999999999</v>
      </c>
      <c r="J447">
        <v>1256.0989999999999</v>
      </c>
      <c r="K447">
        <v>529</v>
      </c>
    </row>
    <row r="448" spans="1:11" x14ac:dyDescent="0.25">
      <c r="A448">
        <v>99540</v>
      </c>
      <c r="B448" t="s">
        <v>372</v>
      </c>
      <c r="C448" t="s">
        <v>374</v>
      </c>
      <c r="E448" t="s">
        <v>1119</v>
      </c>
      <c r="F448">
        <v>54</v>
      </c>
      <c r="G448">
        <v>1974</v>
      </c>
      <c r="H448">
        <v>155</v>
      </c>
      <c r="I448">
        <v>14.422000000000001</v>
      </c>
      <c r="J448">
        <v>1391.356</v>
      </c>
      <c r="K448">
        <v>689</v>
      </c>
    </row>
    <row r="449" spans="1:11" x14ac:dyDescent="0.25">
      <c r="A449">
        <v>96216</v>
      </c>
      <c r="B449" t="s">
        <v>375</v>
      </c>
      <c r="C449" t="s">
        <v>376</v>
      </c>
      <c r="E449" t="s">
        <v>1181</v>
      </c>
      <c r="F449">
        <v>5</v>
      </c>
      <c r="G449">
        <v>1951</v>
      </c>
      <c r="H449">
        <v>166</v>
      </c>
      <c r="I449">
        <v>22.952999999999999</v>
      </c>
      <c r="J449">
        <v>1308.8340000000001</v>
      </c>
      <c r="K449">
        <v>459</v>
      </c>
    </row>
    <row r="450" spans="1:11" x14ac:dyDescent="0.25">
      <c r="A450">
        <v>25047</v>
      </c>
      <c r="B450" t="s">
        <v>375</v>
      </c>
      <c r="C450" t="s">
        <v>24</v>
      </c>
      <c r="E450" t="s">
        <v>1181</v>
      </c>
      <c r="F450">
        <v>5</v>
      </c>
      <c r="G450">
        <v>1995</v>
      </c>
      <c r="H450">
        <v>770</v>
      </c>
      <c r="I450">
        <v>0</v>
      </c>
      <c r="J450">
        <v>0</v>
      </c>
      <c r="K450">
        <v>0</v>
      </c>
    </row>
    <row r="451" spans="1:11" x14ac:dyDescent="0.25">
      <c r="A451">
        <v>14097</v>
      </c>
      <c r="B451" t="s">
        <v>1577</v>
      </c>
      <c r="C451" t="s">
        <v>206</v>
      </c>
      <c r="D451" t="s">
        <v>1053</v>
      </c>
      <c r="E451" t="s">
        <v>1453</v>
      </c>
      <c r="F451">
        <v>82</v>
      </c>
      <c r="G451">
        <v>1979</v>
      </c>
      <c r="H451">
        <v>448</v>
      </c>
      <c r="I451">
        <v>3.149</v>
      </c>
      <c r="J451">
        <v>217.94399999999999</v>
      </c>
      <c r="K451">
        <v>76</v>
      </c>
    </row>
    <row r="452" spans="1:11" x14ac:dyDescent="0.25">
      <c r="A452">
        <v>16030</v>
      </c>
      <c r="B452" t="s">
        <v>1578</v>
      </c>
      <c r="C452" t="s">
        <v>82</v>
      </c>
      <c r="E452" t="s">
        <v>1138</v>
      </c>
      <c r="F452">
        <v>21</v>
      </c>
      <c r="G452">
        <v>1941</v>
      </c>
      <c r="H452">
        <v>651</v>
      </c>
      <c r="I452">
        <v>1</v>
      </c>
      <c r="J452">
        <v>22.006</v>
      </c>
      <c r="K452">
        <v>0</v>
      </c>
    </row>
    <row r="453" spans="1:11" x14ac:dyDescent="0.25">
      <c r="A453">
        <v>12080</v>
      </c>
      <c r="B453" t="s">
        <v>1192</v>
      </c>
      <c r="C453" t="s">
        <v>101</v>
      </c>
      <c r="D453" t="s">
        <v>1053</v>
      </c>
      <c r="E453" t="s">
        <v>58</v>
      </c>
      <c r="F453">
        <v>73</v>
      </c>
      <c r="G453">
        <v>1944</v>
      </c>
      <c r="H453">
        <v>261</v>
      </c>
      <c r="I453">
        <v>10.4</v>
      </c>
      <c r="J453">
        <v>671.04399999999998</v>
      </c>
      <c r="K453">
        <v>211</v>
      </c>
    </row>
    <row r="454" spans="1:11" x14ac:dyDescent="0.25">
      <c r="A454">
        <v>15033</v>
      </c>
      <c r="B454" t="s">
        <v>1579</v>
      </c>
      <c r="C454" t="s">
        <v>67</v>
      </c>
      <c r="E454" t="s">
        <v>58</v>
      </c>
      <c r="F454">
        <v>73</v>
      </c>
      <c r="G454">
        <v>1945</v>
      </c>
      <c r="H454">
        <v>216</v>
      </c>
      <c r="I454">
        <v>14.596</v>
      </c>
      <c r="J454">
        <v>932.98500000000001</v>
      </c>
      <c r="K454">
        <v>332</v>
      </c>
    </row>
    <row r="455" spans="1:11" x14ac:dyDescent="0.25">
      <c r="A455">
        <v>21857</v>
      </c>
      <c r="B455" t="s">
        <v>377</v>
      </c>
      <c r="C455" t="s">
        <v>54</v>
      </c>
      <c r="E455" t="s">
        <v>696</v>
      </c>
      <c r="F455">
        <v>33</v>
      </c>
      <c r="G455">
        <v>1961</v>
      </c>
      <c r="H455">
        <v>386</v>
      </c>
      <c r="I455">
        <v>5.407</v>
      </c>
      <c r="J455">
        <v>307.53899999999999</v>
      </c>
      <c r="K455">
        <v>89</v>
      </c>
    </row>
    <row r="456" spans="1:11" x14ac:dyDescent="0.25">
      <c r="A456">
        <v>21858</v>
      </c>
      <c r="B456" t="s">
        <v>378</v>
      </c>
      <c r="C456" t="s">
        <v>259</v>
      </c>
      <c r="D456" t="s">
        <v>1053</v>
      </c>
      <c r="E456" t="s">
        <v>696</v>
      </c>
      <c r="F456">
        <v>33</v>
      </c>
      <c r="G456">
        <v>1965</v>
      </c>
      <c r="H456">
        <v>771</v>
      </c>
      <c r="I456">
        <v>0</v>
      </c>
      <c r="J456">
        <v>0</v>
      </c>
      <c r="K456">
        <v>0</v>
      </c>
    </row>
    <row r="457" spans="1:11" x14ac:dyDescent="0.25">
      <c r="A457">
        <v>11001</v>
      </c>
      <c r="B457" t="s">
        <v>22</v>
      </c>
      <c r="C457" t="s">
        <v>54</v>
      </c>
      <c r="E457" t="s">
        <v>1580</v>
      </c>
      <c r="F457">
        <v>80</v>
      </c>
      <c r="G457">
        <v>1954</v>
      </c>
      <c r="H457">
        <v>9</v>
      </c>
      <c r="I457">
        <v>46.25</v>
      </c>
      <c r="J457">
        <v>3795.4769999999999</v>
      </c>
      <c r="K457">
        <v>1900</v>
      </c>
    </row>
    <row r="458" spans="1:11" x14ac:dyDescent="0.25">
      <c r="A458">
        <v>11039</v>
      </c>
      <c r="B458" t="s">
        <v>22</v>
      </c>
      <c r="C458" t="s">
        <v>246</v>
      </c>
      <c r="E458" t="s">
        <v>1580</v>
      </c>
      <c r="F458">
        <v>80</v>
      </c>
      <c r="G458">
        <v>1980</v>
      </c>
      <c r="H458">
        <v>42</v>
      </c>
      <c r="I458">
        <v>29.062999999999999</v>
      </c>
      <c r="J458">
        <v>2779.5259999999998</v>
      </c>
      <c r="K458">
        <v>1522</v>
      </c>
    </row>
    <row r="459" spans="1:11" x14ac:dyDescent="0.25">
      <c r="A459">
        <v>15002</v>
      </c>
      <c r="B459" t="s">
        <v>22</v>
      </c>
      <c r="C459" t="s">
        <v>390</v>
      </c>
      <c r="E459" t="s">
        <v>1580</v>
      </c>
      <c r="F459">
        <v>80</v>
      </c>
      <c r="G459">
        <v>1978</v>
      </c>
      <c r="H459">
        <v>335</v>
      </c>
      <c r="I459">
        <v>7.875</v>
      </c>
      <c r="J459">
        <v>443.27300000000002</v>
      </c>
      <c r="K459">
        <v>93</v>
      </c>
    </row>
    <row r="460" spans="1:11" x14ac:dyDescent="0.25">
      <c r="A460">
        <v>11002</v>
      </c>
      <c r="B460" t="s">
        <v>379</v>
      </c>
      <c r="C460" t="s">
        <v>20</v>
      </c>
      <c r="D460" t="s">
        <v>1053</v>
      </c>
      <c r="E460" t="s">
        <v>1580</v>
      </c>
      <c r="F460">
        <v>80</v>
      </c>
      <c r="G460">
        <v>1956</v>
      </c>
      <c r="H460">
        <v>14</v>
      </c>
      <c r="I460">
        <v>42.375</v>
      </c>
      <c r="J460">
        <v>3463.5610000000001</v>
      </c>
      <c r="K460">
        <v>1619</v>
      </c>
    </row>
    <row r="461" spans="1:11" x14ac:dyDescent="0.25">
      <c r="A461">
        <v>10095</v>
      </c>
      <c r="B461" t="s">
        <v>1581</v>
      </c>
      <c r="C461" t="s">
        <v>324</v>
      </c>
      <c r="D461" t="s">
        <v>1053</v>
      </c>
      <c r="E461" t="s">
        <v>1134</v>
      </c>
      <c r="F461">
        <v>69</v>
      </c>
      <c r="G461">
        <v>1956</v>
      </c>
      <c r="H461">
        <v>433</v>
      </c>
      <c r="I461">
        <v>5.109</v>
      </c>
      <c r="J461">
        <v>235.07400000000001</v>
      </c>
      <c r="K461">
        <v>48</v>
      </c>
    </row>
    <row r="462" spans="1:11" x14ac:dyDescent="0.25">
      <c r="A462">
        <v>12039</v>
      </c>
      <c r="B462" t="s">
        <v>380</v>
      </c>
      <c r="C462" t="s">
        <v>36</v>
      </c>
      <c r="D462" t="s">
        <v>1053</v>
      </c>
      <c r="E462" t="s">
        <v>58</v>
      </c>
      <c r="F462">
        <v>73</v>
      </c>
      <c r="G462">
        <v>1943</v>
      </c>
      <c r="H462">
        <v>546</v>
      </c>
      <c r="I462">
        <v>0.68799999999999994</v>
      </c>
      <c r="J462">
        <v>79.128</v>
      </c>
      <c r="K462">
        <v>45</v>
      </c>
    </row>
    <row r="463" spans="1:11" x14ac:dyDescent="0.25">
      <c r="A463">
        <v>96130</v>
      </c>
      <c r="B463" t="s">
        <v>381</v>
      </c>
      <c r="C463" t="s">
        <v>382</v>
      </c>
      <c r="E463" t="s">
        <v>1131</v>
      </c>
      <c r="F463">
        <v>7</v>
      </c>
      <c r="G463">
        <v>1958</v>
      </c>
      <c r="H463">
        <v>552</v>
      </c>
      <c r="I463">
        <v>3.25</v>
      </c>
      <c r="J463">
        <v>74.031999999999996</v>
      </c>
      <c r="K463">
        <v>0</v>
      </c>
    </row>
    <row r="464" spans="1:11" x14ac:dyDescent="0.25">
      <c r="A464">
        <v>25038</v>
      </c>
      <c r="B464" t="s">
        <v>383</v>
      </c>
      <c r="C464" t="s">
        <v>111</v>
      </c>
      <c r="E464" t="s">
        <v>706</v>
      </c>
      <c r="F464">
        <v>39</v>
      </c>
      <c r="G464">
        <v>1976</v>
      </c>
      <c r="H464">
        <v>772</v>
      </c>
      <c r="I464">
        <v>0</v>
      </c>
      <c r="J464">
        <v>0</v>
      </c>
      <c r="K464">
        <v>0</v>
      </c>
    </row>
    <row r="465" spans="1:11" x14ac:dyDescent="0.25">
      <c r="A465">
        <v>15052</v>
      </c>
      <c r="B465" t="s">
        <v>1582</v>
      </c>
      <c r="C465" t="s">
        <v>54</v>
      </c>
      <c r="E465" t="s">
        <v>696</v>
      </c>
      <c r="F465">
        <v>33</v>
      </c>
      <c r="G465">
        <v>1952</v>
      </c>
      <c r="H465">
        <v>637</v>
      </c>
      <c r="I465">
        <v>0.75</v>
      </c>
      <c r="J465">
        <v>30.585999999999999</v>
      </c>
      <c r="K465">
        <v>0</v>
      </c>
    </row>
    <row r="466" spans="1:11" x14ac:dyDescent="0.25">
      <c r="A466">
        <v>21823</v>
      </c>
      <c r="B466" t="s">
        <v>384</v>
      </c>
      <c r="C466" t="s">
        <v>287</v>
      </c>
      <c r="E466" t="s">
        <v>1193</v>
      </c>
      <c r="F466">
        <v>36</v>
      </c>
      <c r="G466">
        <v>1970</v>
      </c>
      <c r="H466">
        <v>773</v>
      </c>
      <c r="I466">
        <v>0</v>
      </c>
      <c r="J466">
        <v>0</v>
      </c>
      <c r="K466">
        <v>0</v>
      </c>
    </row>
    <row r="467" spans="1:11" x14ac:dyDescent="0.25">
      <c r="A467">
        <v>25035</v>
      </c>
      <c r="B467" t="s">
        <v>386</v>
      </c>
      <c r="C467" t="s">
        <v>218</v>
      </c>
      <c r="E467" t="s">
        <v>1125</v>
      </c>
      <c r="F467">
        <v>44</v>
      </c>
      <c r="G467">
        <v>1971</v>
      </c>
      <c r="H467">
        <v>774</v>
      </c>
      <c r="I467">
        <v>0</v>
      </c>
      <c r="J467">
        <v>0</v>
      </c>
      <c r="K467">
        <v>0</v>
      </c>
    </row>
    <row r="468" spans="1:11" x14ac:dyDescent="0.25">
      <c r="A468">
        <v>16016</v>
      </c>
      <c r="B468" t="s">
        <v>1583</v>
      </c>
      <c r="C468" t="s">
        <v>489</v>
      </c>
      <c r="D468" t="s">
        <v>1053</v>
      </c>
      <c r="E468" t="s">
        <v>1103</v>
      </c>
      <c r="F468">
        <v>48</v>
      </c>
      <c r="G468">
        <v>1957</v>
      </c>
      <c r="H468">
        <v>775</v>
      </c>
      <c r="I468">
        <v>0</v>
      </c>
      <c r="J468">
        <v>0</v>
      </c>
      <c r="K468">
        <v>0</v>
      </c>
    </row>
    <row r="469" spans="1:11" x14ac:dyDescent="0.25">
      <c r="A469">
        <v>10087</v>
      </c>
      <c r="B469" t="s">
        <v>387</v>
      </c>
      <c r="C469" t="s">
        <v>388</v>
      </c>
      <c r="E469" t="s">
        <v>1134</v>
      </c>
      <c r="F469">
        <v>69</v>
      </c>
      <c r="G469">
        <v>1959</v>
      </c>
      <c r="H469">
        <v>776</v>
      </c>
      <c r="I469">
        <v>0</v>
      </c>
      <c r="J469">
        <v>0</v>
      </c>
      <c r="K469">
        <v>0</v>
      </c>
    </row>
    <row r="470" spans="1:11" x14ac:dyDescent="0.25">
      <c r="A470">
        <v>13080</v>
      </c>
      <c r="B470" t="s">
        <v>1584</v>
      </c>
      <c r="C470" t="s">
        <v>15</v>
      </c>
      <c r="E470" t="s">
        <v>1162</v>
      </c>
      <c r="F470">
        <v>51</v>
      </c>
      <c r="G470">
        <v>1951</v>
      </c>
      <c r="H470">
        <v>403</v>
      </c>
      <c r="I470">
        <v>1.75</v>
      </c>
      <c r="J470">
        <v>266.87200000000001</v>
      </c>
      <c r="K470">
        <v>180</v>
      </c>
    </row>
    <row r="471" spans="1:11" x14ac:dyDescent="0.25">
      <c r="A471">
        <v>13081</v>
      </c>
      <c r="B471" t="s">
        <v>1585</v>
      </c>
      <c r="C471" t="s">
        <v>101</v>
      </c>
      <c r="D471" t="s">
        <v>1053</v>
      </c>
      <c r="E471" t="s">
        <v>1162</v>
      </c>
      <c r="F471">
        <v>51</v>
      </c>
      <c r="G471">
        <v>1958</v>
      </c>
      <c r="H471">
        <v>404</v>
      </c>
      <c r="I471">
        <v>1.75</v>
      </c>
      <c r="J471">
        <v>266.87200000000001</v>
      </c>
      <c r="K471">
        <v>180</v>
      </c>
    </row>
    <row r="472" spans="1:11" x14ac:dyDescent="0.25">
      <c r="A472">
        <v>23034</v>
      </c>
      <c r="B472" t="s">
        <v>389</v>
      </c>
      <c r="C472" t="s">
        <v>73</v>
      </c>
      <c r="E472" t="s">
        <v>1125</v>
      </c>
      <c r="F472">
        <v>44</v>
      </c>
      <c r="G472">
        <v>1968</v>
      </c>
      <c r="H472">
        <v>777</v>
      </c>
      <c r="I472">
        <v>0</v>
      </c>
      <c r="J472">
        <v>0</v>
      </c>
      <c r="K472">
        <v>0</v>
      </c>
    </row>
    <row r="473" spans="1:11" x14ac:dyDescent="0.25">
      <c r="A473">
        <v>13056</v>
      </c>
      <c r="B473" t="s">
        <v>1276</v>
      </c>
      <c r="C473" t="s">
        <v>111</v>
      </c>
      <c r="E473" t="s">
        <v>1092</v>
      </c>
      <c r="F473">
        <v>30</v>
      </c>
      <c r="G473">
        <v>1978</v>
      </c>
      <c r="H473">
        <v>564</v>
      </c>
      <c r="I473">
        <v>1.9379999999999999</v>
      </c>
      <c r="J473">
        <v>64.441000000000003</v>
      </c>
      <c r="K473">
        <v>0</v>
      </c>
    </row>
    <row r="474" spans="1:11" x14ac:dyDescent="0.25">
      <c r="A474">
        <v>10071</v>
      </c>
      <c r="B474" t="s">
        <v>391</v>
      </c>
      <c r="C474" t="s">
        <v>57</v>
      </c>
      <c r="E474" t="s">
        <v>1138</v>
      </c>
      <c r="F474">
        <v>21</v>
      </c>
      <c r="G474">
        <v>1958</v>
      </c>
      <c r="H474">
        <v>186</v>
      </c>
      <c r="I474">
        <v>14.125999999999999</v>
      </c>
      <c r="J474">
        <v>1163.2260000000001</v>
      </c>
      <c r="K474">
        <v>584</v>
      </c>
    </row>
    <row r="475" spans="1:11" x14ac:dyDescent="0.25">
      <c r="A475">
        <v>12076</v>
      </c>
      <c r="B475" t="s">
        <v>1194</v>
      </c>
      <c r="C475" t="s">
        <v>385</v>
      </c>
      <c r="D475" t="s">
        <v>1053</v>
      </c>
      <c r="E475" t="s">
        <v>1138</v>
      </c>
      <c r="F475">
        <v>21</v>
      </c>
      <c r="G475">
        <v>1991</v>
      </c>
      <c r="H475">
        <v>306</v>
      </c>
      <c r="I475">
        <v>6.2030000000000003</v>
      </c>
      <c r="J475">
        <v>523.74400000000003</v>
      </c>
      <c r="K475">
        <v>292</v>
      </c>
    </row>
    <row r="476" spans="1:11" x14ac:dyDescent="0.25">
      <c r="A476">
        <v>23056</v>
      </c>
      <c r="B476" t="s">
        <v>392</v>
      </c>
      <c r="C476" t="s">
        <v>393</v>
      </c>
      <c r="D476" t="s">
        <v>1053</v>
      </c>
      <c r="E476" t="s">
        <v>1094</v>
      </c>
      <c r="F476">
        <v>43</v>
      </c>
      <c r="G476">
        <v>1981</v>
      </c>
      <c r="H476">
        <v>165</v>
      </c>
      <c r="I476">
        <v>13.781000000000001</v>
      </c>
      <c r="J476">
        <v>1310.624</v>
      </c>
      <c r="K476">
        <v>688</v>
      </c>
    </row>
    <row r="477" spans="1:11" x14ac:dyDescent="0.25">
      <c r="A477">
        <v>14009</v>
      </c>
      <c r="B477" t="s">
        <v>392</v>
      </c>
      <c r="C477" t="s">
        <v>428</v>
      </c>
      <c r="D477" t="s">
        <v>1053</v>
      </c>
      <c r="E477" t="s">
        <v>1175</v>
      </c>
      <c r="F477">
        <v>75</v>
      </c>
      <c r="G477">
        <v>1966</v>
      </c>
      <c r="H477">
        <v>383</v>
      </c>
      <c r="I477">
        <v>5.25</v>
      </c>
      <c r="J477">
        <v>314.92700000000002</v>
      </c>
      <c r="K477">
        <v>109</v>
      </c>
    </row>
    <row r="478" spans="1:11" x14ac:dyDescent="0.25">
      <c r="A478">
        <v>15073</v>
      </c>
      <c r="B478" t="s">
        <v>1586</v>
      </c>
      <c r="C478" t="s">
        <v>15</v>
      </c>
      <c r="E478" t="s">
        <v>1162</v>
      </c>
      <c r="F478">
        <v>51</v>
      </c>
      <c r="G478">
        <v>1944</v>
      </c>
      <c r="H478">
        <v>382</v>
      </c>
      <c r="I478">
        <v>4.641</v>
      </c>
      <c r="J478">
        <v>318.887</v>
      </c>
      <c r="K478">
        <v>116</v>
      </c>
    </row>
    <row r="479" spans="1:11" x14ac:dyDescent="0.25">
      <c r="A479">
        <v>16122</v>
      </c>
      <c r="B479" t="s">
        <v>1586</v>
      </c>
      <c r="C479" t="s">
        <v>34</v>
      </c>
      <c r="E479" t="s">
        <v>58</v>
      </c>
      <c r="F479">
        <v>73</v>
      </c>
      <c r="G479">
        <v>1982</v>
      </c>
      <c r="H479">
        <v>778</v>
      </c>
      <c r="I479">
        <v>0</v>
      </c>
      <c r="J479">
        <v>0</v>
      </c>
      <c r="K479">
        <v>0</v>
      </c>
    </row>
    <row r="480" spans="1:11" x14ac:dyDescent="0.25">
      <c r="A480">
        <v>27088</v>
      </c>
      <c r="B480" t="s">
        <v>394</v>
      </c>
      <c r="C480" t="s">
        <v>395</v>
      </c>
      <c r="D480" t="s">
        <v>1053</v>
      </c>
      <c r="E480" t="s">
        <v>1176</v>
      </c>
      <c r="F480">
        <v>42</v>
      </c>
      <c r="G480">
        <v>1970</v>
      </c>
      <c r="H480">
        <v>138</v>
      </c>
      <c r="I480">
        <v>28.437999999999999</v>
      </c>
      <c r="J480">
        <v>1573.6010000000001</v>
      </c>
      <c r="K480">
        <v>510</v>
      </c>
    </row>
    <row r="481" spans="1:11" x14ac:dyDescent="0.25">
      <c r="A481">
        <v>98482</v>
      </c>
      <c r="B481" t="s">
        <v>396</v>
      </c>
      <c r="C481" t="s">
        <v>78</v>
      </c>
      <c r="E481" t="s">
        <v>1101</v>
      </c>
      <c r="F481">
        <v>14</v>
      </c>
      <c r="G481">
        <v>1970</v>
      </c>
      <c r="H481">
        <v>255</v>
      </c>
      <c r="I481">
        <v>7.0010000000000003</v>
      </c>
      <c r="J481">
        <v>693.76700000000005</v>
      </c>
      <c r="K481">
        <v>379</v>
      </c>
    </row>
    <row r="482" spans="1:11" x14ac:dyDescent="0.25">
      <c r="A482">
        <v>27031</v>
      </c>
      <c r="B482" t="s">
        <v>397</v>
      </c>
      <c r="C482" t="s">
        <v>78</v>
      </c>
      <c r="E482" t="s">
        <v>1149</v>
      </c>
      <c r="F482">
        <v>57</v>
      </c>
      <c r="G482">
        <v>1975</v>
      </c>
      <c r="H482">
        <v>779</v>
      </c>
      <c r="I482">
        <v>0</v>
      </c>
      <c r="J482">
        <v>0</v>
      </c>
      <c r="K482">
        <v>0</v>
      </c>
    </row>
    <row r="483" spans="1:11" x14ac:dyDescent="0.25">
      <c r="A483">
        <v>29049</v>
      </c>
      <c r="B483" t="s">
        <v>398</v>
      </c>
      <c r="C483" t="s">
        <v>72</v>
      </c>
      <c r="E483" t="s">
        <v>1142</v>
      </c>
      <c r="F483">
        <v>64</v>
      </c>
      <c r="G483">
        <v>1987</v>
      </c>
      <c r="H483">
        <v>72</v>
      </c>
      <c r="I483">
        <v>37.375</v>
      </c>
      <c r="J483">
        <v>2229.942</v>
      </c>
      <c r="K483">
        <v>705</v>
      </c>
    </row>
    <row r="484" spans="1:11" x14ac:dyDescent="0.25">
      <c r="A484">
        <v>16136</v>
      </c>
      <c r="B484" t="s">
        <v>1727</v>
      </c>
      <c r="C484" t="s">
        <v>1728</v>
      </c>
      <c r="D484" t="s">
        <v>139</v>
      </c>
      <c r="E484" t="s">
        <v>1138</v>
      </c>
      <c r="F484">
        <v>21</v>
      </c>
      <c r="G484">
        <v>2006</v>
      </c>
      <c r="H484">
        <v>780</v>
      </c>
      <c r="I484">
        <v>0</v>
      </c>
      <c r="J484">
        <v>0</v>
      </c>
      <c r="K484">
        <v>0</v>
      </c>
    </row>
    <row r="485" spans="1:11" x14ac:dyDescent="0.25">
      <c r="A485">
        <v>27071</v>
      </c>
      <c r="B485" t="s">
        <v>399</v>
      </c>
      <c r="C485" t="s">
        <v>12</v>
      </c>
      <c r="E485" t="s">
        <v>1163</v>
      </c>
      <c r="F485">
        <v>61</v>
      </c>
      <c r="G485">
        <v>1986</v>
      </c>
      <c r="H485">
        <v>588</v>
      </c>
      <c r="I485">
        <v>2.4060000000000001</v>
      </c>
      <c r="J485">
        <v>53.984999999999999</v>
      </c>
      <c r="K485">
        <v>0</v>
      </c>
    </row>
    <row r="486" spans="1:11" x14ac:dyDescent="0.25">
      <c r="A486">
        <v>27073</v>
      </c>
      <c r="B486" t="s">
        <v>399</v>
      </c>
      <c r="C486" t="s">
        <v>46</v>
      </c>
      <c r="E486" t="s">
        <v>1163</v>
      </c>
      <c r="F486">
        <v>61</v>
      </c>
      <c r="G486">
        <v>1988</v>
      </c>
      <c r="H486">
        <v>430</v>
      </c>
      <c r="I486">
        <v>7</v>
      </c>
      <c r="J486">
        <v>240.43100000000001</v>
      </c>
      <c r="K486">
        <v>0</v>
      </c>
    </row>
    <row r="487" spans="1:11" x14ac:dyDescent="0.25">
      <c r="A487">
        <v>14046</v>
      </c>
      <c r="B487" t="s">
        <v>399</v>
      </c>
      <c r="C487" t="s">
        <v>78</v>
      </c>
      <c r="E487" t="s">
        <v>1147</v>
      </c>
      <c r="F487">
        <v>1</v>
      </c>
      <c r="G487">
        <v>1953</v>
      </c>
      <c r="H487">
        <v>781</v>
      </c>
      <c r="I487">
        <v>0</v>
      </c>
      <c r="J487">
        <v>0</v>
      </c>
      <c r="K487">
        <v>0</v>
      </c>
    </row>
    <row r="488" spans="1:11" x14ac:dyDescent="0.25">
      <c r="A488">
        <v>14051</v>
      </c>
      <c r="B488" t="s">
        <v>1587</v>
      </c>
      <c r="C488" t="s">
        <v>46</v>
      </c>
      <c r="E488" t="s">
        <v>58</v>
      </c>
      <c r="F488">
        <v>73</v>
      </c>
      <c r="G488">
        <v>1944</v>
      </c>
      <c r="H488">
        <v>625</v>
      </c>
      <c r="I488">
        <v>0.81299999999999994</v>
      </c>
      <c r="J488">
        <v>35.505000000000003</v>
      </c>
      <c r="K488">
        <v>0</v>
      </c>
    </row>
    <row r="489" spans="1:11" x14ac:dyDescent="0.25">
      <c r="A489">
        <v>13004</v>
      </c>
      <c r="B489" t="s">
        <v>1195</v>
      </c>
      <c r="C489" t="s">
        <v>16</v>
      </c>
      <c r="E489" t="s">
        <v>1119</v>
      </c>
      <c r="F489">
        <v>54</v>
      </c>
      <c r="G489">
        <v>1965</v>
      </c>
      <c r="H489">
        <v>159</v>
      </c>
      <c r="I489">
        <v>19.172999999999998</v>
      </c>
      <c r="J489">
        <v>1351.2819999999999</v>
      </c>
      <c r="K489">
        <v>493</v>
      </c>
    </row>
    <row r="490" spans="1:11" x14ac:dyDescent="0.25">
      <c r="A490">
        <v>21821</v>
      </c>
      <c r="B490" t="s">
        <v>400</v>
      </c>
      <c r="C490" t="s">
        <v>73</v>
      </c>
      <c r="E490" t="s">
        <v>1193</v>
      </c>
      <c r="F490">
        <v>36</v>
      </c>
      <c r="G490">
        <v>1960</v>
      </c>
      <c r="H490">
        <v>782</v>
      </c>
      <c r="I490">
        <v>0</v>
      </c>
      <c r="J490">
        <v>0</v>
      </c>
      <c r="K490">
        <v>0</v>
      </c>
    </row>
    <row r="491" spans="1:11" x14ac:dyDescent="0.25">
      <c r="A491">
        <v>23054</v>
      </c>
      <c r="B491" t="s">
        <v>400</v>
      </c>
      <c r="C491" t="s">
        <v>16</v>
      </c>
      <c r="E491" t="s">
        <v>1147</v>
      </c>
      <c r="F491">
        <v>1</v>
      </c>
      <c r="G491">
        <v>1978</v>
      </c>
      <c r="H491">
        <v>25</v>
      </c>
      <c r="I491">
        <v>42.75</v>
      </c>
      <c r="J491">
        <v>3161.9319999999998</v>
      </c>
      <c r="K491">
        <v>1436</v>
      </c>
    </row>
    <row r="492" spans="1:11" x14ac:dyDescent="0.25">
      <c r="A492">
        <v>12009</v>
      </c>
      <c r="B492" t="s">
        <v>401</v>
      </c>
      <c r="C492" t="s">
        <v>402</v>
      </c>
      <c r="E492" t="s">
        <v>1103</v>
      </c>
      <c r="F492">
        <v>48</v>
      </c>
      <c r="G492">
        <v>1960</v>
      </c>
      <c r="H492">
        <v>110</v>
      </c>
      <c r="I492">
        <v>24.689</v>
      </c>
      <c r="J492">
        <v>1823.4110000000001</v>
      </c>
      <c r="K492">
        <v>882</v>
      </c>
    </row>
    <row r="493" spans="1:11" x14ac:dyDescent="0.25">
      <c r="A493">
        <v>12045</v>
      </c>
      <c r="B493" t="s">
        <v>403</v>
      </c>
      <c r="C493" t="s">
        <v>404</v>
      </c>
      <c r="D493" t="s">
        <v>1053</v>
      </c>
      <c r="E493" t="s">
        <v>1103</v>
      </c>
      <c r="F493">
        <v>48</v>
      </c>
      <c r="G493">
        <v>1965</v>
      </c>
      <c r="H493">
        <v>372</v>
      </c>
      <c r="I493">
        <v>3.5630000000000002</v>
      </c>
      <c r="J493">
        <v>350.76600000000002</v>
      </c>
      <c r="K493">
        <v>182</v>
      </c>
    </row>
    <row r="494" spans="1:11" x14ac:dyDescent="0.25">
      <c r="A494">
        <v>16061</v>
      </c>
      <c r="B494" t="s">
        <v>1588</v>
      </c>
      <c r="C494" t="s">
        <v>67</v>
      </c>
      <c r="E494" t="s">
        <v>1524</v>
      </c>
      <c r="F494">
        <v>83</v>
      </c>
      <c r="G494">
        <v>1969</v>
      </c>
      <c r="H494">
        <v>783</v>
      </c>
      <c r="I494">
        <v>0</v>
      </c>
      <c r="J494">
        <v>0</v>
      </c>
      <c r="K494">
        <v>0</v>
      </c>
    </row>
    <row r="495" spans="1:11" x14ac:dyDescent="0.25">
      <c r="A495">
        <v>10012</v>
      </c>
      <c r="B495" t="s">
        <v>405</v>
      </c>
      <c r="C495" t="s">
        <v>72</v>
      </c>
      <c r="E495" t="s">
        <v>1173</v>
      </c>
      <c r="F495">
        <v>66</v>
      </c>
      <c r="G495">
        <v>1975</v>
      </c>
      <c r="H495">
        <v>535</v>
      </c>
      <c r="I495">
        <v>2.375</v>
      </c>
      <c r="J495">
        <v>91.974999999999994</v>
      </c>
      <c r="K495">
        <v>0</v>
      </c>
    </row>
    <row r="496" spans="1:11" x14ac:dyDescent="0.25">
      <c r="A496">
        <v>10011</v>
      </c>
      <c r="B496" t="s">
        <v>405</v>
      </c>
      <c r="C496" t="s">
        <v>16</v>
      </c>
      <c r="E496" t="s">
        <v>1173</v>
      </c>
      <c r="F496">
        <v>66</v>
      </c>
      <c r="G496">
        <v>1976</v>
      </c>
      <c r="H496">
        <v>534</v>
      </c>
      <c r="I496">
        <v>2.375</v>
      </c>
      <c r="J496">
        <v>91.974999999999994</v>
      </c>
      <c r="K496">
        <v>0</v>
      </c>
    </row>
    <row r="497" spans="1:11" x14ac:dyDescent="0.25">
      <c r="A497">
        <v>16128</v>
      </c>
      <c r="B497" t="s">
        <v>1729</v>
      </c>
      <c r="C497" t="s">
        <v>1730</v>
      </c>
      <c r="D497" t="s">
        <v>1048</v>
      </c>
      <c r="E497" t="s">
        <v>1164</v>
      </c>
      <c r="F497">
        <v>2</v>
      </c>
      <c r="G497">
        <v>2009</v>
      </c>
      <c r="H497">
        <v>784</v>
      </c>
      <c r="I497">
        <v>0</v>
      </c>
      <c r="J497">
        <v>0</v>
      </c>
      <c r="K497">
        <v>0</v>
      </c>
    </row>
    <row r="498" spans="1:11" x14ac:dyDescent="0.25">
      <c r="A498">
        <v>16129</v>
      </c>
      <c r="B498" t="s">
        <v>1731</v>
      </c>
      <c r="C498" t="s">
        <v>1732</v>
      </c>
      <c r="D498" t="s">
        <v>139</v>
      </c>
      <c r="E498" t="s">
        <v>1164</v>
      </c>
      <c r="F498">
        <v>2</v>
      </c>
      <c r="G498">
        <v>2007</v>
      </c>
      <c r="H498">
        <v>785</v>
      </c>
      <c r="I498">
        <v>0</v>
      </c>
      <c r="J498">
        <v>0</v>
      </c>
      <c r="K498">
        <v>0</v>
      </c>
    </row>
    <row r="499" spans="1:11" x14ac:dyDescent="0.25">
      <c r="A499">
        <v>13021</v>
      </c>
      <c r="B499" t="s">
        <v>406</v>
      </c>
      <c r="C499" t="s">
        <v>46</v>
      </c>
      <c r="E499" t="s">
        <v>1175</v>
      </c>
      <c r="F499">
        <v>75</v>
      </c>
      <c r="G499">
        <v>1956</v>
      </c>
      <c r="H499">
        <v>282</v>
      </c>
      <c r="I499">
        <v>8.8130000000000006</v>
      </c>
      <c r="J499">
        <v>586.5</v>
      </c>
      <c r="K499">
        <v>237</v>
      </c>
    </row>
    <row r="500" spans="1:11" x14ac:dyDescent="0.25">
      <c r="A500">
        <v>13064</v>
      </c>
      <c r="B500" t="s">
        <v>1290</v>
      </c>
      <c r="C500" t="s">
        <v>22</v>
      </c>
      <c r="E500" t="s">
        <v>1147</v>
      </c>
      <c r="F500">
        <v>1</v>
      </c>
      <c r="G500">
        <v>1998</v>
      </c>
      <c r="H500">
        <v>19</v>
      </c>
      <c r="I500">
        <v>43.25</v>
      </c>
      <c r="J500">
        <v>3280.2939999999999</v>
      </c>
      <c r="K500">
        <v>1401</v>
      </c>
    </row>
    <row r="501" spans="1:11" x14ac:dyDescent="0.25">
      <c r="A501">
        <v>28029</v>
      </c>
      <c r="B501" t="s">
        <v>407</v>
      </c>
      <c r="C501" t="s">
        <v>20</v>
      </c>
      <c r="D501" t="s">
        <v>1053</v>
      </c>
      <c r="E501" t="s">
        <v>127</v>
      </c>
      <c r="F501">
        <v>62</v>
      </c>
      <c r="G501">
        <v>1968</v>
      </c>
      <c r="H501">
        <v>522</v>
      </c>
      <c r="I501">
        <v>1</v>
      </c>
      <c r="J501">
        <v>105.496</v>
      </c>
      <c r="K501">
        <v>61</v>
      </c>
    </row>
    <row r="502" spans="1:11" x14ac:dyDescent="0.25">
      <c r="A502">
        <v>28030</v>
      </c>
      <c r="B502" t="s">
        <v>408</v>
      </c>
      <c r="C502" t="s">
        <v>46</v>
      </c>
      <c r="E502" t="s">
        <v>127</v>
      </c>
      <c r="F502">
        <v>62</v>
      </c>
      <c r="G502">
        <v>1967</v>
      </c>
      <c r="H502">
        <v>428</v>
      </c>
      <c r="I502">
        <v>3.75</v>
      </c>
      <c r="J502">
        <v>242.715</v>
      </c>
      <c r="K502">
        <v>99</v>
      </c>
    </row>
    <row r="503" spans="1:11" x14ac:dyDescent="0.25">
      <c r="A503">
        <v>13069</v>
      </c>
      <c r="B503" t="s">
        <v>408</v>
      </c>
      <c r="C503" t="s">
        <v>133</v>
      </c>
      <c r="D503" t="s">
        <v>1048</v>
      </c>
      <c r="E503" t="s">
        <v>127</v>
      </c>
      <c r="F503">
        <v>62</v>
      </c>
      <c r="G503">
        <v>2003</v>
      </c>
      <c r="H503">
        <v>786</v>
      </c>
      <c r="I503">
        <v>0</v>
      </c>
      <c r="J503">
        <v>0</v>
      </c>
      <c r="K503">
        <v>0</v>
      </c>
    </row>
    <row r="504" spans="1:11" x14ac:dyDescent="0.25">
      <c r="A504">
        <v>99532</v>
      </c>
      <c r="B504" t="s">
        <v>409</v>
      </c>
      <c r="C504" t="s">
        <v>177</v>
      </c>
      <c r="E504" t="s">
        <v>678</v>
      </c>
      <c r="F504">
        <v>17</v>
      </c>
      <c r="G504">
        <v>1965</v>
      </c>
      <c r="H504">
        <v>3</v>
      </c>
      <c r="I504">
        <v>54</v>
      </c>
      <c r="J504">
        <v>4468.3119999999999</v>
      </c>
      <c r="K504">
        <v>1924</v>
      </c>
    </row>
    <row r="505" spans="1:11" x14ac:dyDescent="0.25">
      <c r="A505">
        <v>21775</v>
      </c>
      <c r="B505" t="s">
        <v>409</v>
      </c>
      <c r="C505" t="s">
        <v>72</v>
      </c>
      <c r="E505" t="s">
        <v>678</v>
      </c>
      <c r="F505">
        <v>17</v>
      </c>
      <c r="G505">
        <v>1991</v>
      </c>
      <c r="H505">
        <v>1</v>
      </c>
      <c r="I505">
        <v>57.25</v>
      </c>
      <c r="J505">
        <v>4883.3729999999996</v>
      </c>
      <c r="K505">
        <v>2051</v>
      </c>
    </row>
    <row r="506" spans="1:11" x14ac:dyDescent="0.25">
      <c r="A506">
        <v>21774</v>
      </c>
      <c r="B506" t="s">
        <v>409</v>
      </c>
      <c r="C506" t="s">
        <v>34</v>
      </c>
      <c r="E506" t="s">
        <v>678</v>
      </c>
      <c r="F506">
        <v>17</v>
      </c>
      <c r="G506">
        <v>1994</v>
      </c>
      <c r="H506">
        <v>4</v>
      </c>
      <c r="I506">
        <v>53.75</v>
      </c>
      <c r="J506">
        <v>4392.0330000000004</v>
      </c>
      <c r="K506">
        <v>1926</v>
      </c>
    </row>
    <row r="507" spans="1:11" x14ac:dyDescent="0.25">
      <c r="A507">
        <v>15038</v>
      </c>
      <c r="B507" t="s">
        <v>410</v>
      </c>
      <c r="C507" t="s">
        <v>385</v>
      </c>
      <c r="D507" t="s">
        <v>1053</v>
      </c>
      <c r="E507" t="s">
        <v>1447</v>
      </c>
      <c r="F507">
        <v>6</v>
      </c>
      <c r="G507">
        <v>1979</v>
      </c>
      <c r="H507">
        <v>620</v>
      </c>
      <c r="I507">
        <v>0.5</v>
      </c>
      <c r="J507">
        <v>37.247999999999998</v>
      </c>
      <c r="K507">
        <v>15</v>
      </c>
    </row>
    <row r="508" spans="1:11" x14ac:dyDescent="0.25">
      <c r="A508">
        <v>20702</v>
      </c>
      <c r="B508" t="s">
        <v>410</v>
      </c>
      <c r="C508" t="s">
        <v>411</v>
      </c>
      <c r="D508" t="s">
        <v>1053</v>
      </c>
      <c r="E508" t="s">
        <v>678</v>
      </c>
      <c r="F508">
        <v>17</v>
      </c>
      <c r="G508">
        <v>1969</v>
      </c>
      <c r="H508">
        <v>276</v>
      </c>
      <c r="I508">
        <v>7.25</v>
      </c>
      <c r="J508">
        <v>612.44899999999996</v>
      </c>
      <c r="K508">
        <v>286</v>
      </c>
    </row>
    <row r="509" spans="1:11" x14ac:dyDescent="0.25">
      <c r="A509">
        <v>15076</v>
      </c>
      <c r="B509" t="s">
        <v>1589</v>
      </c>
      <c r="C509" t="s">
        <v>195</v>
      </c>
      <c r="E509" t="s">
        <v>1136</v>
      </c>
      <c r="F509">
        <v>13</v>
      </c>
      <c r="G509">
        <v>1984</v>
      </c>
      <c r="H509">
        <v>551</v>
      </c>
      <c r="I509">
        <v>1.429</v>
      </c>
      <c r="J509">
        <v>74.664000000000001</v>
      </c>
      <c r="K509">
        <v>20</v>
      </c>
    </row>
    <row r="510" spans="1:11" x14ac:dyDescent="0.25">
      <c r="A510">
        <v>26060</v>
      </c>
      <c r="B510" t="s">
        <v>412</v>
      </c>
      <c r="C510" t="s">
        <v>72</v>
      </c>
      <c r="E510" t="s">
        <v>1123</v>
      </c>
      <c r="F510">
        <v>27</v>
      </c>
      <c r="G510">
        <v>1953</v>
      </c>
      <c r="H510">
        <v>331</v>
      </c>
      <c r="I510">
        <v>5.0949999999999998</v>
      </c>
      <c r="J510">
        <v>451.08300000000003</v>
      </c>
      <c r="K510">
        <v>224</v>
      </c>
    </row>
    <row r="511" spans="1:11" x14ac:dyDescent="0.25">
      <c r="A511">
        <v>15047</v>
      </c>
      <c r="B511" t="s">
        <v>1590</v>
      </c>
      <c r="C511" t="s">
        <v>32</v>
      </c>
      <c r="E511" t="s">
        <v>1119</v>
      </c>
      <c r="F511">
        <v>54</v>
      </c>
      <c r="G511">
        <v>1978</v>
      </c>
      <c r="H511">
        <v>85</v>
      </c>
      <c r="I511">
        <v>27.844999999999999</v>
      </c>
      <c r="J511">
        <v>2052.5279999999998</v>
      </c>
      <c r="K511">
        <v>1069</v>
      </c>
    </row>
    <row r="512" spans="1:11" x14ac:dyDescent="0.25">
      <c r="A512">
        <v>24225</v>
      </c>
      <c r="B512" t="s">
        <v>413</v>
      </c>
      <c r="C512" t="s">
        <v>32</v>
      </c>
      <c r="E512" t="s">
        <v>1162</v>
      </c>
      <c r="F512">
        <v>51</v>
      </c>
      <c r="G512">
        <v>1945</v>
      </c>
      <c r="H512">
        <v>787</v>
      </c>
      <c r="I512">
        <v>0</v>
      </c>
      <c r="J512">
        <v>0</v>
      </c>
      <c r="K512">
        <v>0</v>
      </c>
    </row>
    <row r="513" spans="1:11" x14ac:dyDescent="0.25">
      <c r="A513">
        <v>12085</v>
      </c>
      <c r="B513" t="s">
        <v>1196</v>
      </c>
      <c r="C513" t="s">
        <v>18</v>
      </c>
      <c r="D513" t="s">
        <v>1053</v>
      </c>
      <c r="E513" t="s">
        <v>58</v>
      </c>
      <c r="F513">
        <v>73</v>
      </c>
      <c r="G513">
        <v>1949</v>
      </c>
      <c r="H513">
        <v>162</v>
      </c>
      <c r="I513">
        <v>20.721</v>
      </c>
      <c r="J513">
        <v>1329.2750000000001</v>
      </c>
      <c r="K513">
        <v>601</v>
      </c>
    </row>
    <row r="514" spans="1:11" x14ac:dyDescent="0.25">
      <c r="A514">
        <v>14049</v>
      </c>
      <c r="B514" t="s">
        <v>414</v>
      </c>
      <c r="C514" t="s">
        <v>92</v>
      </c>
      <c r="E514" t="s">
        <v>1169</v>
      </c>
      <c r="F514">
        <v>76</v>
      </c>
      <c r="G514">
        <v>1974</v>
      </c>
      <c r="H514">
        <v>263</v>
      </c>
      <c r="I514">
        <v>8.2810000000000006</v>
      </c>
      <c r="J514">
        <v>657.94</v>
      </c>
      <c r="K514">
        <v>289</v>
      </c>
    </row>
    <row r="515" spans="1:11" x14ac:dyDescent="0.25">
      <c r="A515">
        <v>29037</v>
      </c>
      <c r="B515" t="s">
        <v>414</v>
      </c>
      <c r="C515" t="s">
        <v>415</v>
      </c>
      <c r="E515" t="s">
        <v>678</v>
      </c>
      <c r="F515">
        <v>17</v>
      </c>
      <c r="G515">
        <v>1974</v>
      </c>
      <c r="H515">
        <v>66</v>
      </c>
      <c r="I515">
        <v>36.875</v>
      </c>
      <c r="J515">
        <v>2339.5529999999999</v>
      </c>
      <c r="K515">
        <v>971</v>
      </c>
    </row>
    <row r="516" spans="1:11" x14ac:dyDescent="0.25">
      <c r="A516">
        <v>15014</v>
      </c>
      <c r="B516" t="s">
        <v>416</v>
      </c>
      <c r="C516" t="s">
        <v>1591</v>
      </c>
      <c r="D516" t="s">
        <v>139</v>
      </c>
      <c r="E516" t="s">
        <v>678</v>
      </c>
      <c r="F516">
        <v>17</v>
      </c>
      <c r="G516">
        <v>2006</v>
      </c>
      <c r="H516">
        <v>558</v>
      </c>
      <c r="I516">
        <v>1.8129999999999999</v>
      </c>
      <c r="J516">
        <v>71.366</v>
      </c>
      <c r="K516">
        <v>0</v>
      </c>
    </row>
    <row r="517" spans="1:11" x14ac:dyDescent="0.25">
      <c r="A517">
        <v>24330</v>
      </c>
      <c r="B517" t="s">
        <v>416</v>
      </c>
      <c r="C517" t="s">
        <v>171</v>
      </c>
      <c r="D517" t="s">
        <v>1053</v>
      </c>
      <c r="E517" t="s">
        <v>678</v>
      </c>
      <c r="F517">
        <v>17</v>
      </c>
      <c r="G517">
        <v>1979</v>
      </c>
      <c r="H517">
        <v>145</v>
      </c>
      <c r="I517">
        <v>25.282</v>
      </c>
      <c r="J517">
        <v>1506.519</v>
      </c>
      <c r="K517">
        <v>683</v>
      </c>
    </row>
    <row r="518" spans="1:11" x14ac:dyDescent="0.25">
      <c r="A518">
        <v>23025</v>
      </c>
      <c r="B518" t="s">
        <v>1592</v>
      </c>
      <c r="C518" t="s">
        <v>67</v>
      </c>
      <c r="E518" t="s">
        <v>1176</v>
      </c>
      <c r="F518">
        <v>42</v>
      </c>
      <c r="G518">
        <v>1966</v>
      </c>
      <c r="H518">
        <v>788</v>
      </c>
      <c r="I518">
        <v>0</v>
      </c>
      <c r="J518">
        <v>0</v>
      </c>
      <c r="K518">
        <v>0</v>
      </c>
    </row>
    <row r="519" spans="1:11" x14ac:dyDescent="0.25">
      <c r="A519">
        <v>98446</v>
      </c>
      <c r="B519" t="s">
        <v>1592</v>
      </c>
      <c r="C519" t="s">
        <v>54</v>
      </c>
      <c r="E519" t="s">
        <v>1116</v>
      </c>
      <c r="F519">
        <v>20</v>
      </c>
      <c r="G519">
        <v>1969</v>
      </c>
      <c r="H519">
        <v>28</v>
      </c>
      <c r="I519">
        <v>48.75</v>
      </c>
      <c r="J519">
        <v>3080.277</v>
      </c>
      <c r="K519">
        <v>1140</v>
      </c>
    </row>
    <row r="520" spans="1:11" x14ac:dyDescent="0.25">
      <c r="A520">
        <v>16001</v>
      </c>
      <c r="B520" t="s">
        <v>417</v>
      </c>
      <c r="C520" t="s">
        <v>96</v>
      </c>
      <c r="E520" t="s">
        <v>1176</v>
      </c>
      <c r="F520">
        <v>42</v>
      </c>
      <c r="G520">
        <v>1981</v>
      </c>
      <c r="H520">
        <v>410</v>
      </c>
      <c r="I520">
        <v>4.5789999999999997</v>
      </c>
      <c r="J520">
        <v>261.17200000000003</v>
      </c>
      <c r="K520">
        <v>98</v>
      </c>
    </row>
    <row r="521" spans="1:11" x14ac:dyDescent="0.25">
      <c r="A521">
        <v>14027</v>
      </c>
      <c r="B521" t="s">
        <v>1593</v>
      </c>
      <c r="C521" t="s">
        <v>105</v>
      </c>
      <c r="E521" t="s">
        <v>680</v>
      </c>
      <c r="F521">
        <v>19</v>
      </c>
      <c r="G521">
        <v>1947</v>
      </c>
      <c r="H521">
        <v>528</v>
      </c>
      <c r="I521">
        <v>1.8280000000000001</v>
      </c>
      <c r="J521">
        <v>96.129000000000005</v>
      </c>
      <c r="K521">
        <v>25</v>
      </c>
    </row>
    <row r="522" spans="1:11" x14ac:dyDescent="0.25">
      <c r="A522">
        <v>27062</v>
      </c>
      <c r="B522" t="s">
        <v>418</v>
      </c>
      <c r="C522" t="s">
        <v>73</v>
      </c>
      <c r="E522" t="s">
        <v>107</v>
      </c>
      <c r="F522">
        <v>45</v>
      </c>
      <c r="G522">
        <v>1954</v>
      </c>
      <c r="H522">
        <v>210</v>
      </c>
      <c r="I522">
        <v>12.297000000000001</v>
      </c>
      <c r="J522">
        <v>980.24199999999996</v>
      </c>
      <c r="K522">
        <v>434</v>
      </c>
    </row>
    <row r="523" spans="1:11" x14ac:dyDescent="0.25">
      <c r="A523">
        <v>16003</v>
      </c>
      <c r="B523" t="s">
        <v>1594</v>
      </c>
      <c r="C523" t="s">
        <v>92</v>
      </c>
      <c r="D523" t="s">
        <v>1048</v>
      </c>
      <c r="E523" t="s">
        <v>1122</v>
      </c>
      <c r="F523">
        <v>63</v>
      </c>
      <c r="G523">
        <v>2007</v>
      </c>
      <c r="H523">
        <v>611</v>
      </c>
      <c r="I523">
        <v>1.1879999999999999</v>
      </c>
      <c r="J523">
        <v>40.280999999999999</v>
      </c>
      <c r="K523">
        <v>0</v>
      </c>
    </row>
    <row r="524" spans="1:11" x14ac:dyDescent="0.25">
      <c r="A524">
        <v>25014</v>
      </c>
      <c r="B524" t="s">
        <v>419</v>
      </c>
      <c r="C524" t="s">
        <v>105</v>
      </c>
      <c r="E524" t="s">
        <v>1170</v>
      </c>
      <c r="F524">
        <v>55</v>
      </c>
      <c r="G524">
        <v>1959</v>
      </c>
      <c r="H524">
        <v>77</v>
      </c>
      <c r="I524">
        <v>28.876000000000001</v>
      </c>
      <c r="J524">
        <v>2181.7800000000002</v>
      </c>
      <c r="K524">
        <v>1021</v>
      </c>
    </row>
    <row r="525" spans="1:11" x14ac:dyDescent="0.25">
      <c r="A525">
        <v>12070</v>
      </c>
      <c r="B525" t="s">
        <v>1197</v>
      </c>
      <c r="C525" t="s">
        <v>54</v>
      </c>
      <c r="E525" t="s">
        <v>1142</v>
      </c>
      <c r="F525">
        <v>64</v>
      </c>
      <c r="G525">
        <v>1968</v>
      </c>
      <c r="H525">
        <v>100</v>
      </c>
      <c r="I525">
        <v>27.625</v>
      </c>
      <c r="J525">
        <v>1923.1510000000001</v>
      </c>
      <c r="K525">
        <v>892</v>
      </c>
    </row>
    <row r="526" spans="1:11" x14ac:dyDescent="0.25">
      <c r="A526">
        <v>29002</v>
      </c>
      <c r="B526" t="s">
        <v>420</v>
      </c>
      <c r="C526" t="s">
        <v>395</v>
      </c>
      <c r="D526" t="s">
        <v>1053</v>
      </c>
      <c r="E526" t="s">
        <v>680</v>
      </c>
      <c r="F526">
        <v>19</v>
      </c>
      <c r="G526">
        <v>1975</v>
      </c>
      <c r="H526">
        <v>41</v>
      </c>
      <c r="I526">
        <v>38.125</v>
      </c>
      <c r="J526">
        <v>2788.9180000000001</v>
      </c>
      <c r="K526">
        <v>1276</v>
      </c>
    </row>
    <row r="527" spans="1:11" x14ac:dyDescent="0.25">
      <c r="A527">
        <v>25015</v>
      </c>
      <c r="B527" t="s">
        <v>421</v>
      </c>
      <c r="C527" t="s">
        <v>36</v>
      </c>
      <c r="D527" t="s">
        <v>1053</v>
      </c>
      <c r="E527" t="s">
        <v>1170</v>
      </c>
      <c r="F527">
        <v>55</v>
      </c>
      <c r="G527">
        <v>1960</v>
      </c>
      <c r="H527">
        <v>164</v>
      </c>
      <c r="I527">
        <v>14.273999999999999</v>
      </c>
      <c r="J527">
        <v>1319.433</v>
      </c>
      <c r="K527">
        <v>666</v>
      </c>
    </row>
    <row r="528" spans="1:11" x14ac:dyDescent="0.25">
      <c r="A528">
        <v>24243</v>
      </c>
      <c r="B528" t="s">
        <v>422</v>
      </c>
      <c r="C528" t="s">
        <v>16</v>
      </c>
      <c r="E528" t="s">
        <v>31</v>
      </c>
      <c r="F528">
        <v>29</v>
      </c>
      <c r="G528">
        <v>1965</v>
      </c>
      <c r="H528">
        <v>578</v>
      </c>
      <c r="I528">
        <v>1.5</v>
      </c>
      <c r="J528">
        <v>55.401000000000003</v>
      </c>
      <c r="K528">
        <v>0</v>
      </c>
    </row>
    <row r="529" spans="1:11" x14ac:dyDescent="0.25">
      <c r="A529">
        <v>23148</v>
      </c>
      <c r="B529" t="s">
        <v>423</v>
      </c>
      <c r="C529" t="s">
        <v>46</v>
      </c>
      <c r="E529" t="s">
        <v>1103</v>
      </c>
      <c r="F529">
        <v>48</v>
      </c>
      <c r="G529">
        <v>1991</v>
      </c>
      <c r="H529">
        <v>222</v>
      </c>
      <c r="I529">
        <v>7.75</v>
      </c>
      <c r="J529">
        <v>872.74099999999999</v>
      </c>
      <c r="K529">
        <v>459</v>
      </c>
    </row>
    <row r="530" spans="1:11" x14ac:dyDescent="0.25">
      <c r="A530">
        <v>23083</v>
      </c>
      <c r="B530" t="s">
        <v>424</v>
      </c>
      <c r="C530" t="s">
        <v>137</v>
      </c>
      <c r="D530" t="s">
        <v>1053</v>
      </c>
      <c r="E530" t="s">
        <v>1103</v>
      </c>
      <c r="F530">
        <v>48</v>
      </c>
      <c r="G530">
        <v>1970</v>
      </c>
      <c r="H530">
        <v>789</v>
      </c>
      <c r="I530">
        <v>0</v>
      </c>
      <c r="J530">
        <v>0</v>
      </c>
      <c r="K530">
        <v>0</v>
      </c>
    </row>
    <row r="531" spans="1:11" x14ac:dyDescent="0.25">
      <c r="A531">
        <v>16057</v>
      </c>
      <c r="B531" t="s">
        <v>425</v>
      </c>
      <c r="C531" t="s">
        <v>160</v>
      </c>
      <c r="E531" t="s">
        <v>1453</v>
      </c>
      <c r="F531">
        <v>82</v>
      </c>
      <c r="G531">
        <v>1972</v>
      </c>
      <c r="H531">
        <v>439</v>
      </c>
      <c r="I531">
        <v>2.8759999999999999</v>
      </c>
      <c r="J531">
        <v>228.77</v>
      </c>
      <c r="K531">
        <v>100</v>
      </c>
    </row>
    <row r="532" spans="1:11" x14ac:dyDescent="0.25">
      <c r="A532">
        <v>98457</v>
      </c>
      <c r="B532" t="s">
        <v>426</v>
      </c>
      <c r="C532" t="s">
        <v>67</v>
      </c>
      <c r="E532" t="s">
        <v>1116</v>
      </c>
      <c r="F532">
        <v>20</v>
      </c>
      <c r="G532">
        <v>1960</v>
      </c>
      <c r="H532">
        <v>197</v>
      </c>
      <c r="I532">
        <v>16.812999999999999</v>
      </c>
      <c r="J532">
        <v>1042.8530000000001</v>
      </c>
      <c r="K532">
        <v>349</v>
      </c>
    </row>
    <row r="533" spans="1:11" x14ac:dyDescent="0.25">
      <c r="A533">
        <v>98458</v>
      </c>
      <c r="B533" t="s">
        <v>427</v>
      </c>
      <c r="C533" t="s">
        <v>428</v>
      </c>
      <c r="D533" t="s">
        <v>1053</v>
      </c>
      <c r="E533" t="s">
        <v>1116</v>
      </c>
      <c r="F533">
        <v>20</v>
      </c>
      <c r="G533">
        <v>1962</v>
      </c>
      <c r="H533">
        <v>319</v>
      </c>
      <c r="I533">
        <v>4.97</v>
      </c>
      <c r="J533">
        <v>490.11900000000003</v>
      </c>
      <c r="K533">
        <v>265</v>
      </c>
    </row>
    <row r="534" spans="1:11" x14ac:dyDescent="0.25">
      <c r="A534">
        <v>21757</v>
      </c>
      <c r="B534" t="s">
        <v>429</v>
      </c>
      <c r="C534" t="s">
        <v>33</v>
      </c>
      <c r="E534" t="s">
        <v>1143</v>
      </c>
      <c r="F534">
        <v>31</v>
      </c>
      <c r="G534">
        <v>1973</v>
      </c>
      <c r="H534">
        <v>790</v>
      </c>
      <c r="I534">
        <v>0</v>
      </c>
      <c r="J534">
        <v>0</v>
      </c>
      <c r="K534">
        <v>0</v>
      </c>
    </row>
    <row r="535" spans="1:11" x14ac:dyDescent="0.25">
      <c r="A535">
        <v>21787</v>
      </c>
      <c r="B535" t="s">
        <v>430</v>
      </c>
      <c r="C535" t="s">
        <v>18</v>
      </c>
      <c r="D535" t="s">
        <v>1053</v>
      </c>
      <c r="E535" t="s">
        <v>1143</v>
      </c>
      <c r="F535">
        <v>31</v>
      </c>
      <c r="G535">
        <v>1969</v>
      </c>
      <c r="H535">
        <v>791</v>
      </c>
      <c r="I535">
        <v>0</v>
      </c>
      <c r="J535">
        <v>0</v>
      </c>
      <c r="K535">
        <v>0</v>
      </c>
    </row>
    <row r="536" spans="1:11" x14ac:dyDescent="0.25">
      <c r="A536">
        <v>16110</v>
      </c>
      <c r="B536" t="s">
        <v>1733</v>
      </c>
      <c r="C536" t="s">
        <v>72</v>
      </c>
      <c r="E536" t="s">
        <v>1176</v>
      </c>
      <c r="F536">
        <v>42</v>
      </c>
      <c r="G536">
        <v>1989</v>
      </c>
      <c r="H536">
        <v>792</v>
      </c>
      <c r="I536">
        <v>0</v>
      </c>
      <c r="J536">
        <v>0</v>
      </c>
      <c r="K536">
        <v>0</v>
      </c>
    </row>
    <row r="537" spans="1:11" x14ac:dyDescent="0.25">
      <c r="A537">
        <v>14068</v>
      </c>
      <c r="B537" t="s">
        <v>1595</v>
      </c>
      <c r="C537" t="s">
        <v>109</v>
      </c>
      <c r="D537" t="s">
        <v>1053</v>
      </c>
      <c r="E537" t="s">
        <v>1506</v>
      </c>
      <c r="F537">
        <v>77</v>
      </c>
      <c r="G537">
        <v>1950</v>
      </c>
      <c r="H537">
        <v>211</v>
      </c>
      <c r="I537">
        <v>12.909000000000001</v>
      </c>
      <c r="J537">
        <v>973.26400000000001</v>
      </c>
      <c r="K537">
        <v>454</v>
      </c>
    </row>
    <row r="538" spans="1:11" x14ac:dyDescent="0.25">
      <c r="A538">
        <v>16031</v>
      </c>
      <c r="B538" t="s">
        <v>1596</v>
      </c>
      <c r="C538" t="s">
        <v>73</v>
      </c>
      <c r="E538" t="s">
        <v>1138</v>
      </c>
      <c r="F538">
        <v>21</v>
      </c>
      <c r="G538">
        <v>1953</v>
      </c>
      <c r="H538">
        <v>793</v>
      </c>
      <c r="I538">
        <v>0</v>
      </c>
      <c r="J538">
        <v>0</v>
      </c>
      <c r="K538">
        <v>0</v>
      </c>
    </row>
    <row r="539" spans="1:11" x14ac:dyDescent="0.25">
      <c r="A539">
        <v>15022</v>
      </c>
      <c r="B539" t="s">
        <v>1597</v>
      </c>
      <c r="C539" t="s">
        <v>170</v>
      </c>
      <c r="D539" t="s">
        <v>1053</v>
      </c>
      <c r="E539" t="s">
        <v>1116</v>
      </c>
      <c r="F539">
        <v>20</v>
      </c>
      <c r="G539">
        <v>1995</v>
      </c>
      <c r="H539">
        <v>116</v>
      </c>
      <c r="I539">
        <v>23.312999999999999</v>
      </c>
      <c r="J539">
        <v>1784.799</v>
      </c>
      <c r="K539">
        <v>856</v>
      </c>
    </row>
    <row r="540" spans="1:11" x14ac:dyDescent="0.25">
      <c r="A540">
        <v>15021</v>
      </c>
      <c r="B540" t="s">
        <v>1597</v>
      </c>
      <c r="C540" t="s">
        <v>1598</v>
      </c>
      <c r="E540" t="s">
        <v>1116</v>
      </c>
      <c r="F540">
        <v>20</v>
      </c>
      <c r="G540">
        <v>1970</v>
      </c>
      <c r="H540">
        <v>193</v>
      </c>
      <c r="I540">
        <v>16.157</v>
      </c>
      <c r="J540">
        <v>1115.9259999999999</v>
      </c>
      <c r="K540">
        <v>484</v>
      </c>
    </row>
    <row r="541" spans="1:11" x14ac:dyDescent="0.25">
      <c r="A541">
        <v>11048</v>
      </c>
      <c r="B541" t="s">
        <v>431</v>
      </c>
      <c r="C541" t="s">
        <v>88</v>
      </c>
      <c r="E541" t="s">
        <v>1142</v>
      </c>
      <c r="F541">
        <v>64</v>
      </c>
      <c r="G541">
        <v>1977</v>
      </c>
      <c r="H541">
        <v>184</v>
      </c>
      <c r="I541">
        <v>17.094000000000001</v>
      </c>
      <c r="J541">
        <v>1178.529</v>
      </c>
      <c r="K541">
        <v>515</v>
      </c>
    </row>
    <row r="542" spans="1:11" x14ac:dyDescent="0.25">
      <c r="A542">
        <v>12053</v>
      </c>
      <c r="B542" t="s">
        <v>432</v>
      </c>
      <c r="C542" t="s">
        <v>177</v>
      </c>
      <c r="E542" t="s">
        <v>1182</v>
      </c>
      <c r="F542">
        <v>56</v>
      </c>
      <c r="G542">
        <v>1970</v>
      </c>
      <c r="H542">
        <v>95</v>
      </c>
      <c r="I542">
        <v>24.844999999999999</v>
      </c>
      <c r="J542">
        <v>1982.0509999999999</v>
      </c>
      <c r="K542">
        <v>1042</v>
      </c>
    </row>
    <row r="543" spans="1:11" x14ac:dyDescent="0.25">
      <c r="A543">
        <v>11023</v>
      </c>
      <c r="B543" t="s">
        <v>433</v>
      </c>
      <c r="C543" t="s">
        <v>218</v>
      </c>
      <c r="E543" t="s">
        <v>696</v>
      </c>
      <c r="F543">
        <v>33</v>
      </c>
      <c r="G543">
        <v>1979</v>
      </c>
      <c r="H543">
        <v>794</v>
      </c>
      <c r="I543">
        <v>0</v>
      </c>
      <c r="J543">
        <v>0</v>
      </c>
      <c r="K543">
        <v>0</v>
      </c>
    </row>
    <row r="544" spans="1:11" x14ac:dyDescent="0.25">
      <c r="A544">
        <v>12026</v>
      </c>
      <c r="B544" t="s">
        <v>433</v>
      </c>
      <c r="C544" t="s">
        <v>32</v>
      </c>
      <c r="E544" t="s">
        <v>1167</v>
      </c>
      <c r="F544">
        <v>70</v>
      </c>
      <c r="G544">
        <v>1945</v>
      </c>
      <c r="H544">
        <v>795</v>
      </c>
      <c r="I544">
        <v>0</v>
      </c>
      <c r="J544">
        <v>0</v>
      </c>
      <c r="K544">
        <v>0</v>
      </c>
    </row>
    <row r="545" spans="1:11" x14ac:dyDescent="0.25">
      <c r="A545">
        <v>13011</v>
      </c>
      <c r="B545" t="s">
        <v>433</v>
      </c>
      <c r="C545" t="s">
        <v>54</v>
      </c>
      <c r="E545" t="s">
        <v>1175</v>
      </c>
      <c r="F545">
        <v>75</v>
      </c>
      <c r="G545">
        <v>1958</v>
      </c>
      <c r="H545">
        <v>392</v>
      </c>
      <c r="I545">
        <v>5.2190000000000003</v>
      </c>
      <c r="J545">
        <v>282.45100000000002</v>
      </c>
      <c r="K545">
        <v>76</v>
      </c>
    </row>
    <row r="546" spans="1:11" x14ac:dyDescent="0.25">
      <c r="A546">
        <v>16009</v>
      </c>
      <c r="B546" t="s">
        <v>434</v>
      </c>
      <c r="C546" t="s">
        <v>112</v>
      </c>
      <c r="D546" t="s">
        <v>1053</v>
      </c>
      <c r="E546" t="s">
        <v>1136</v>
      </c>
      <c r="F546">
        <v>13</v>
      </c>
      <c r="G546">
        <v>1989</v>
      </c>
      <c r="H546">
        <v>420</v>
      </c>
      <c r="I546">
        <v>4.1879999999999997</v>
      </c>
      <c r="J546">
        <v>251.66</v>
      </c>
      <c r="K546">
        <v>100</v>
      </c>
    </row>
    <row r="547" spans="1:11" x14ac:dyDescent="0.25">
      <c r="A547">
        <v>16058</v>
      </c>
      <c r="B547" t="s">
        <v>1599</v>
      </c>
      <c r="C547" t="s">
        <v>67</v>
      </c>
      <c r="E547" t="s">
        <v>1524</v>
      </c>
      <c r="F547">
        <v>83</v>
      </c>
      <c r="G547">
        <v>1975</v>
      </c>
      <c r="H547">
        <v>298</v>
      </c>
      <c r="I547">
        <v>7.3680000000000003</v>
      </c>
      <c r="J547">
        <v>538.78599999999994</v>
      </c>
      <c r="K547">
        <v>265</v>
      </c>
    </row>
    <row r="548" spans="1:11" x14ac:dyDescent="0.25">
      <c r="A548">
        <v>16032</v>
      </c>
      <c r="B548" t="s">
        <v>1600</v>
      </c>
      <c r="C548" t="s">
        <v>150</v>
      </c>
      <c r="D548" t="s">
        <v>1053</v>
      </c>
      <c r="E548" t="s">
        <v>1172</v>
      </c>
      <c r="F548">
        <v>24</v>
      </c>
      <c r="G548">
        <v>1988</v>
      </c>
      <c r="H548">
        <v>567</v>
      </c>
      <c r="I548">
        <v>1.375</v>
      </c>
      <c r="J548">
        <v>60.853999999999999</v>
      </c>
      <c r="K548">
        <v>0</v>
      </c>
    </row>
    <row r="549" spans="1:11" x14ac:dyDescent="0.25">
      <c r="A549">
        <v>24310</v>
      </c>
      <c r="B549" t="s">
        <v>435</v>
      </c>
      <c r="C549" t="s">
        <v>328</v>
      </c>
      <c r="E549" t="s">
        <v>52</v>
      </c>
      <c r="F549">
        <v>16</v>
      </c>
      <c r="G549">
        <v>1990</v>
      </c>
      <c r="H549">
        <v>123</v>
      </c>
      <c r="I549">
        <v>20.125</v>
      </c>
      <c r="J549">
        <v>1696.34</v>
      </c>
      <c r="K549">
        <v>756</v>
      </c>
    </row>
    <row r="550" spans="1:11" x14ac:dyDescent="0.25">
      <c r="A550">
        <v>16081</v>
      </c>
      <c r="B550" t="s">
        <v>1601</v>
      </c>
      <c r="C550" t="s">
        <v>109</v>
      </c>
      <c r="D550" t="s">
        <v>1053</v>
      </c>
      <c r="E550" t="s">
        <v>1441</v>
      </c>
      <c r="F550">
        <v>84</v>
      </c>
      <c r="G550">
        <v>1940</v>
      </c>
      <c r="H550">
        <v>796</v>
      </c>
      <c r="I550">
        <v>0</v>
      </c>
      <c r="J550">
        <v>0</v>
      </c>
      <c r="K550">
        <v>0</v>
      </c>
    </row>
    <row r="551" spans="1:11" x14ac:dyDescent="0.25">
      <c r="A551">
        <v>16011</v>
      </c>
      <c r="B551" t="s">
        <v>436</v>
      </c>
      <c r="C551" t="s">
        <v>73</v>
      </c>
      <c r="E551" t="s">
        <v>1142</v>
      </c>
      <c r="F551">
        <v>64</v>
      </c>
      <c r="G551">
        <v>1978</v>
      </c>
      <c r="H551">
        <v>246</v>
      </c>
      <c r="I551">
        <v>14.968999999999999</v>
      </c>
      <c r="J551">
        <v>739.34900000000005</v>
      </c>
      <c r="K551">
        <v>139</v>
      </c>
    </row>
    <row r="552" spans="1:11" x14ac:dyDescent="0.25">
      <c r="A552">
        <v>10026</v>
      </c>
      <c r="B552" t="s">
        <v>436</v>
      </c>
      <c r="C552" t="s">
        <v>33</v>
      </c>
      <c r="E552" t="s">
        <v>65</v>
      </c>
      <c r="F552">
        <v>67</v>
      </c>
      <c r="G552">
        <v>1962</v>
      </c>
      <c r="H552">
        <v>797</v>
      </c>
      <c r="I552">
        <v>0</v>
      </c>
      <c r="J552">
        <v>0</v>
      </c>
      <c r="K552">
        <v>0</v>
      </c>
    </row>
    <row r="553" spans="1:11" x14ac:dyDescent="0.25">
      <c r="A553">
        <v>15093</v>
      </c>
      <c r="B553" t="s">
        <v>436</v>
      </c>
      <c r="C553" t="s">
        <v>78</v>
      </c>
      <c r="E553" t="s">
        <v>1176</v>
      </c>
      <c r="F553">
        <v>42</v>
      </c>
      <c r="G553">
        <v>1969</v>
      </c>
      <c r="H553">
        <v>290</v>
      </c>
      <c r="I553">
        <v>11.454000000000001</v>
      </c>
      <c r="J553">
        <v>555.56399999999996</v>
      </c>
      <c r="K553">
        <v>125</v>
      </c>
    </row>
    <row r="554" spans="1:11" x14ac:dyDescent="0.25">
      <c r="A554">
        <v>15029</v>
      </c>
      <c r="B554" t="s">
        <v>437</v>
      </c>
      <c r="C554" t="s">
        <v>46</v>
      </c>
      <c r="E554" t="s">
        <v>1437</v>
      </c>
      <c r="F554">
        <v>79</v>
      </c>
      <c r="G554">
        <v>1984</v>
      </c>
      <c r="H554">
        <v>798</v>
      </c>
      <c r="I554">
        <v>0</v>
      </c>
      <c r="J554">
        <v>0</v>
      </c>
      <c r="K554">
        <v>0</v>
      </c>
    </row>
    <row r="555" spans="1:11" x14ac:dyDescent="0.25">
      <c r="A555">
        <v>16063</v>
      </c>
      <c r="B555" t="s">
        <v>437</v>
      </c>
      <c r="C555" t="s">
        <v>46</v>
      </c>
      <c r="E555" t="s">
        <v>1524</v>
      </c>
      <c r="F555">
        <v>83</v>
      </c>
      <c r="G555">
        <v>1969</v>
      </c>
      <c r="H555">
        <v>799</v>
      </c>
      <c r="I555">
        <v>0</v>
      </c>
      <c r="J555">
        <v>0</v>
      </c>
      <c r="K555">
        <v>0</v>
      </c>
    </row>
    <row r="556" spans="1:11" x14ac:dyDescent="0.25">
      <c r="A556">
        <v>21829</v>
      </c>
      <c r="B556" t="s">
        <v>438</v>
      </c>
      <c r="C556" t="s">
        <v>61</v>
      </c>
      <c r="D556" t="s">
        <v>1053</v>
      </c>
      <c r="E556" t="s">
        <v>1193</v>
      </c>
      <c r="F556">
        <v>36</v>
      </c>
      <c r="G556">
        <v>1954</v>
      </c>
      <c r="H556">
        <v>800</v>
      </c>
      <c r="I556">
        <v>0</v>
      </c>
      <c r="J556">
        <v>0</v>
      </c>
      <c r="K556">
        <v>0</v>
      </c>
    </row>
    <row r="557" spans="1:11" x14ac:dyDescent="0.25">
      <c r="A557">
        <v>16043</v>
      </c>
      <c r="B557" t="s">
        <v>1602</v>
      </c>
      <c r="C557" t="s">
        <v>259</v>
      </c>
      <c r="D557" t="s">
        <v>1053</v>
      </c>
      <c r="E557" t="s">
        <v>1167</v>
      </c>
      <c r="F557">
        <v>70</v>
      </c>
      <c r="G557">
        <v>1939</v>
      </c>
      <c r="H557">
        <v>626</v>
      </c>
      <c r="I557">
        <v>0.76600000000000001</v>
      </c>
      <c r="J557">
        <v>33.457000000000001</v>
      </c>
      <c r="K557">
        <v>0</v>
      </c>
    </row>
    <row r="558" spans="1:11" x14ac:dyDescent="0.25">
      <c r="A558">
        <v>11018</v>
      </c>
      <c r="B558" t="s">
        <v>439</v>
      </c>
      <c r="C558" t="s">
        <v>46</v>
      </c>
      <c r="E558" t="s">
        <v>107</v>
      </c>
      <c r="F558">
        <v>45</v>
      </c>
      <c r="G558">
        <v>1947</v>
      </c>
      <c r="H558">
        <v>220</v>
      </c>
      <c r="I558">
        <v>16.471</v>
      </c>
      <c r="J558">
        <v>906.93299999999999</v>
      </c>
      <c r="K558">
        <v>314</v>
      </c>
    </row>
    <row r="559" spans="1:11" x14ac:dyDescent="0.25">
      <c r="A559">
        <v>15061</v>
      </c>
      <c r="B559" t="s">
        <v>439</v>
      </c>
      <c r="C559" t="s">
        <v>54</v>
      </c>
      <c r="E559" t="s">
        <v>1131</v>
      </c>
      <c r="F559">
        <v>7</v>
      </c>
      <c r="G559">
        <v>1972</v>
      </c>
      <c r="H559">
        <v>801</v>
      </c>
      <c r="I559">
        <v>0</v>
      </c>
      <c r="J559">
        <v>0</v>
      </c>
      <c r="K559">
        <v>0</v>
      </c>
    </row>
    <row r="560" spans="1:11" x14ac:dyDescent="0.25">
      <c r="A560">
        <v>27014</v>
      </c>
      <c r="B560" t="s">
        <v>439</v>
      </c>
      <c r="C560" t="s">
        <v>78</v>
      </c>
      <c r="E560" t="s">
        <v>1164</v>
      </c>
      <c r="F560">
        <v>2</v>
      </c>
      <c r="G560">
        <v>1953</v>
      </c>
      <c r="H560">
        <v>555</v>
      </c>
      <c r="I560">
        <v>0.75</v>
      </c>
      <c r="J560">
        <v>72.453999999999994</v>
      </c>
      <c r="K560">
        <v>38</v>
      </c>
    </row>
    <row r="561" spans="1:11" x14ac:dyDescent="0.25">
      <c r="A561">
        <v>16138</v>
      </c>
      <c r="B561" t="s">
        <v>1734</v>
      </c>
      <c r="C561" t="s">
        <v>39</v>
      </c>
      <c r="E561" t="s">
        <v>1172</v>
      </c>
      <c r="F561">
        <v>24</v>
      </c>
      <c r="G561">
        <v>1988</v>
      </c>
      <c r="H561">
        <v>802</v>
      </c>
      <c r="I561">
        <v>0</v>
      </c>
      <c r="J561">
        <v>0</v>
      </c>
      <c r="K561">
        <v>0</v>
      </c>
    </row>
    <row r="562" spans="1:11" x14ac:dyDescent="0.25">
      <c r="A562">
        <v>16123</v>
      </c>
      <c r="B562" t="s">
        <v>1734</v>
      </c>
      <c r="C562" t="s">
        <v>54</v>
      </c>
      <c r="E562" t="s">
        <v>58</v>
      </c>
      <c r="F562">
        <v>73</v>
      </c>
      <c r="G562">
        <v>1963</v>
      </c>
      <c r="H562">
        <v>582</v>
      </c>
      <c r="I562">
        <v>0.71099999999999997</v>
      </c>
      <c r="J562">
        <v>54.503</v>
      </c>
      <c r="K562">
        <v>20</v>
      </c>
    </row>
    <row r="563" spans="1:11" x14ac:dyDescent="0.25">
      <c r="A563">
        <v>16125</v>
      </c>
      <c r="B563" t="s">
        <v>1735</v>
      </c>
      <c r="C563" t="s">
        <v>486</v>
      </c>
      <c r="E563" t="s">
        <v>1147</v>
      </c>
      <c r="F563">
        <v>1</v>
      </c>
      <c r="G563">
        <v>1996</v>
      </c>
      <c r="H563">
        <v>544</v>
      </c>
      <c r="I563">
        <v>0.875</v>
      </c>
      <c r="J563">
        <v>80.125</v>
      </c>
      <c r="K563">
        <v>32</v>
      </c>
    </row>
    <row r="564" spans="1:11" x14ac:dyDescent="0.25">
      <c r="A564">
        <v>23115</v>
      </c>
      <c r="B564" t="s">
        <v>440</v>
      </c>
      <c r="C564" t="s">
        <v>60</v>
      </c>
      <c r="D564" t="s">
        <v>1053</v>
      </c>
      <c r="E564" t="s">
        <v>1138</v>
      </c>
      <c r="F564">
        <v>21</v>
      </c>
      <c r="G564">
        <v>1994</v>
      </c>
      <c r="H564">
        <v>266</v>
      </c>
      <c r="I564">
        <v>6.532</v>
      </c>
      <c r="J564">
        <v>644.38099999999997</v>
      </c>
      <c r="K564">
        <v>331</v>
      </c>
    </row>
    <row r="565" spans="1:11" x14ac:dyDescent="0.25">
      <c r="A565">
        <v>23117</v>
      </c>
      <c r="B565" t="s">
        <v>440</v>
      </c>
      <c r="C565" t="s">
        <v>346</v>
      </c>
      <c r="D565" t="s">
        <v>1053</v>
      </c>
      <c r="E565" t="s">
        <v>1138</v>
      </c>
      <c r="F565">
        <v>21</v>
      </c>
      <c r="G565">
        <v>1969</v>
      </c>
      <c r="H565">
        <v>277</v>
      </c>
      <c r="I565">
        <v>10.907</v>
      </c>
      <c r="J565">
        <v>611.39700000000005</v>
      </c>
      <c r="K565">
        <v>208</v>
      </c>
    </row>
    <row r="566" spans="1:11" x14ac:dyDescent="0.25">
      <c r="A566">
        <v>10058</v>
      </c>
      <c r="B566" t="s">
        <v>442</v>
      </c>
      <c r="C566" t="s">
        <v>443</v>
      </c>
      <c r="E566" t="s">
        <v>1092</v>
      </c>
      <c r="F566">
        <v>30</v>
      </c>
      <c r="G566">
        <v>1977</v>
      </c>
      <c r="H566">
        <v>147</v>
      </c>
      <c r="I566">
        <v>28.125</v>
      </c>
      <c r="J566">
        <v>1460.4860000000001</v>
      </c>
      <c r="K566">
        <v>476</v>
      </c>
    </row>
    <row r="567" spans="1:11" x14ac:dyDescent="0.25">
      <c r="A567">
        <v>13066</v>
      </c>
      <c r="B567" t="s">
        <v>1315</v>
      </c>
      <c r="C567" t="s">
        <v>16</v>
      </c>
      <c r="E567" t="s">
        <v>1182</v>
      </c>
      <c r="F567">
        <v>56</v>
      </c>
      <c r="G567">
        <v>1967</v>
      </c>
      <c r="H567">
        <v>327</v>
      </c>
      <c r="I567">
        <v>9.6880000000000006</v>
      </c>
      <c r="J567">
        <v>461.11500000000001</v>
      </c>
      <c r="K567">
        <v>93</v>
      </c>
    </row>
    <row r="568" spans="1:11" x14ac:dyDescent="0.25">
      <c r="A568">
        <v>12029</v>
      </c>
      <c r="B568" t="s">
        <v>444</v>
      </c>
      <c r="C568" t="s">
        <v>64</v>
      </c>
      <c r="E568" t="s">
        <v>58</v>
      </c>
      <c r="F568">
        <v>73</v>
      </c>
      <c r="G568">
        <v>1957</v>
      </c>
      <c r="H568">
        <v>803</v>
      </c>
      <c r="I568">
        <v>0</v>
      </c>
      <c r="J568">
        <v>0</v>
      </c>
      <c r="K568">
        <v>0</v>
      </c>
    </row>
    <row r="569" spans="1:11" x14ac:dyDescent="0.25">
      <c r="A569">
        <v>23021</v>
      </c>
      <c r="B569" t="s">
        <v>444</v>
      </c>
      <c r="C569" t="s">
        <v>46</v>
      </c>
      <c r="E569" t="s">
        <v>1094</v>
      </c>
      <c r="F569">
        <v>43</v>
      </c>
      <c r="G569">
        <v>1958</v>
      </c>
      <c r="H569">
        <v>63</v>
      </c>
      <c r="I569">
        <v>32.875</v>
      </c>
      <c r="J569">
        <v>2353.0030000000002</v>
      </c>
      <c r="K569">
        <v>888</v>
      </c>
    </row>
    <row r="570" spans="1:11" x14ac:dyDescent="0.25">
      <c r="A570">
        <v>14093</v>
      </c>
      <c r="B570" t="s">
        <v>1603</v>
      </c>
      <c r="C570" t="s">
        <v>1604</v>
      </c>
      <c r="D570" t="s">
        <v>1053</v>
      </c>
      <c r="E570" t="s">
        <v>1094</v>
      </c>
      <c r="F570">
        <v>43</v>
      </c>
      <c r="G570">
        <v>1990</v>
      </c>
      <c r="H570">
        <v>804</v>
      </c>
      <c r="I570">
        <v>0</v>
      </c>
      <c r="J570">
        <v>0</v>
      </c>
      <c r="K570">
        <v>0</v>
      </c>
    </row>
    <row r="571" spans="1:11" x14ac:dyDescent="0.25">
      <c r="A571">
        <v>96022</v>
      </c>
      <c r="B571" t="s">
        <v>445</v>
      </c>
      <c r="C571" t="s">
        <v>446</v>
      </c>
      <c r="E571" t="s">
        <v>230</v>
      </c>
      <c r="F571">
        <v>10</v>
      </c>
      <c r="G571">
        <v>1950</v>
      </c>
      <c r="H571">
        <v>608</v>
      </c>
      <c r="I571">
        <v>2</v>
      </c>
      <c r="J571">
        <v>41.98</v>
      </c>
      <c r="K571">
        <v>0</v>
      </c>
    </row>
    <row r="572" spans="1:11" x14ac:dyDescent="0.25">
      <c r="A572">
        <v>96021</v>
      </c>
      <c r="B572" t="s">
        <v>447</v>
      </c>
      <c r="C572" t="s">
        <v>448</v>
      </c>
      <c r="D572" t="s">
        <v>1053</v>
      </c>
      <c r="E572" t="s">
        <v>230</v>
      </c>
      <c r="F572">
        <v>10</v>
      </c>
      <c r="G572">
        <v>1954</v>
      </c>
      <c r="H572">
        <v>667</v>
      </c>
      <c r="I572">
        <v>0.188</v>
      </c>
      <c r="J572">
        <v>3.9359999999999999</v>
      </c>
      <c r="K572">
        <v>0</v>
      </c>
    </row>
    <row r="573" spans="1:11" x14ac:dyDescent="0.25">
      <c r="A573">
        <v>12010</v>
      </c>
      <c r="B573" t="s">
        <v>449</v>
      </c>
      <c r="C573" t="s">
        <v>16</v>
      </c>
      <c r="E573" t="s">
        <v>1103</v>
      </c>
      <c r="F573">
        <v>48</v>
      </c>
      <c r="G573">
        <v>1946</v>
      </c>
      <c r="H573">
        <v>149</v>
      </c>
      <c r="I573">
        <v>23.657</v>
      </c>
      <c r="J573">
        <v>1436.953</v>
      </c>
      <c r="K573">
        <v>702</v>
      </c>
    </row>
    <row r="574" spans="1:11" x14ac:dyDescent="0.25">
      <c r="A574">
        <v>25073</v>
      </c>
      <c r="B574" t="s">
        <v>450</v>
      </c>
      <c r="C574" t="s">
        <v>88</v>
      </c>
      <c r="E574" t="s">
        <v>680</v>
      </c>
      <c r="F574">
        <v>19</v>
      </c>
      <c r="G574">
        <v>1980</v>
      </c>
      <c r="H574">
        <v>805</v>
      </c>
      <c r="I574">
        <v>0</v>
      </c>
      <c r="J574">
        <v>0</v>
      </c>
      <c r="K574">
        <v>0</v>
      </c>
    </row>
    <row r="575" spans="1:11" x14ac:dyDescent="0.25">
      <c r="A575">
        <v>15065</v>
      </c>
      <c r="B575" t="s">
        <v>1605</v>
      </c>
      <c r="C575" t="s">
        <v>16</v>
      </c>
      <c r="E575" t="s">
        <v>1162</v>
      </c>
      <c r="F575">
        <v>51</v>
      </c>
      <c r="G575">
        <v>1963</v>
      </c>
      <c r="H575">
        <v>142</v>
      </c>
      <c r="I575">
        <v>18.329000000000001</v>
      </c>
      <c r="J575">
        <v>1537.3430000000001</v>
      </c>
      <c r="K575">
        <v>730</v>
      </c>
    </row>
    <row r="576" spans="1:11" x14ac:dyDescent="0.25">
      <c r="A576">
        <v>14024</v>
      </c>
      <c r="B576" t="s">
        <v>1606</v>
      </c>
      <c r="C576" t="s">
        <v>150</v>
      </c>
      <c r="D576" t="s">
        <v>1053</v>
      </c>
      <c r="E576" t="s">
        <v>1580</v>
      </c>
      <c r="F576">
        <v>80</v>
      </c>
      <c r="G576">
        <v>1973</v>
      </c>
      <c r="H576">
        <v>51</v>
      </c>
      <c r="I576">
        <v>27.126000000000001</v>
      </c>
      <c r="J576">
        <v>2535.0250000000001</v>
      </c>
      <c r="K576">
        <v>1385</v>
      </c>
    </row>
    <row r="577" spans="1:11" x14ac:dyDescent="0.25">
      <c r="A577">
        <v>16082</v>
      </c>
      <c r="B577" t="s">
        <v>1607</v>
      </c>
      <c r="C577" t="s">
        <v>67</v>
      </c>
      <c r="E577" t="s">
        <v>1441</v>
      </c>
      <c r="F577">
        <v>84</v>
      </c>
      <c r="G577">
        <v>1946</v>
      </c>
      <c r="H577">
        <v>455</v>
      </c>
      <c r="I577">
        <v>2.5630000000000002</v>
      </c>
      <c r="J577">
        <v>200.16</v>
      </c>
      <c r="K577">
        <v>95</v>
      </c>
    </row>
    <row r="578" spans="1:11" x14ac:dyDescent="0.25">
      <c r="A578">
        <v>16083</v>
      </c>
      <c r="B578" t="s">
        <v>1608</v>
      </c>
      <c r="C578" t="s">
        <v>36</v>
      </c>
      <c r="D578" t="s">
        <v>1053</v>
      </c>
      <c r="E578" t="s">
        <v>1441</v>
      </c>
      <c r="F578">
        <v>84</v>
      </c>
      <c r="G578">
        <v>1946</v>
      </c>
      <c r="H578">
        <v>593</v>
      </c>
      <c r="I578">
        <v>1.5</v>
      </c>
      <c r="J578">
        <v>50.741</v>
      </c>
      <c r="K578">
        <v>0</v>
      </c>
    </row>
    <row r="579" spans="1:11" x14ac:dyDescent="0.25">
      <c r="A579">
        <v>16044</v>
      </c>
      <c r="B579" t="s">
        <v>1609</v>
      </c>
      <c r="C579" t="s">
        <v>120</v>
      </c>
      <c r="D579" t="s">
        <v>1053</v>
      </c>
      <c r="E579" t="s">
        <v>1167</v>
      </c>
      <c r="F579">
        <v>70</v>
      </c>
      <c r="G579">
        <v>1947</v>
      </c>
      <c r="H579">
        <v>627</v>
      </c>
      <c r="I579">
        <v>0.76600000000000001</v>
      </c>
      <c r="J579">
        <v>33.457000000000001</v>
      </c>
      <c r="K579">
        <v>0</v>
      </c>
    </row>
    <row r="580" spans="1:11" x14ac:dyDescent="0.25">
      <c r="A580">
        <v>10039</v>
      </c>
      <c r="B580" t="s">
        <v>451</v>
      </c>
      <c r="C580" t="s">
        <v>67</v>
      </c>
      <c r="E580" t="s">
        <v>168</v>
      </c>
      <c r="F580">
        <v>68</v>
      </c>
      <c r="G580">
        <v>1964</v>
      </c>
      <c r="H580">
        <v>597</v>
      </c>
      <c r="I580">
        <v>1.25</v>
      </c>
      <c r="J580">
        <v>48.143999999999998</v>
      </c>
      <c r="K580">
        <v>0</v>
      </c>
    </row>
    <row r="581" spans="1:11" x14ac:dyDescent="0.25">
      <c r="A581">
        <v>12059</v>
      </c>
      <c r="B581" t="s">
        <v>452</v>
      </c>
      <c r="C581" t="s">
        <v>453</v>
      </c>
      <c r="D581" t="s">
        <v>1053</v>
      </c>
      <c r="E581" t="s">
        <v>1142</v>
      </c>
      <c r="F581">
        <v>64</v>
      </c>
      <c r="G581">
        <v>1978</v>
      </c>
      <c r="H581">
        <v>806</v>
      </c>
      <c r="I581">
        <v>0</v>
      </c>
      <c r="J581">
        <v>0</v>
      </c>
      <c r="K581">
        <v>0</v>
      </c>
    </row>
    <row r="582" spans="1:11" x14ac:dyDescent="0.25">
      <c r="A582">
        <v>29052</v>
      </c>
      <c r="B582" t="s">
        <v>452</v>
      </c>
      <c r="C582" t="s">
        <v>72</v>
      </c>
      <c r="E582" t="s">
        <v>1142</v>
      </c>
      <c r="F582">
        <v>64</v>
      </c>
      <c r="G582">
        <v>1973</v>
      </c>
      <c r="H582">
        <v>296</v>
      </c>
      <c r="I582">
        <v>13.282</v>
      </c>
      <c r="J582">
        <v>544.87599999999998</v>
      </c>
      <c r="K582">
        <v>0</v>
      </c>
    </row>
    <row r="583" spans="1:11" x14ac:dyDescent="0.25">
      <c r="A583">
        <v>15064</v>
      </c>
      <c r="B583" t="s">
        <v>1610</v>
      </c>
      <c r="C583" t="s">
        <v>12</v>
      </c>
      <c r="D583" t="s">
        <v>1048</v>
      </c>
      <c r="E583" t="s">
        <v>1142</v>
      </c>
      <c r="F583">
        <v>64</v>
      </c>
      <c r="G583">
        <v>2001</v>
      </c>
      <c r="H583">
        <v>232</v>
      </c>
      <c r="I583">
        <v>11.877000000000001</v>
      </c>
      <c r="J583">
        <v>818.63</v>
      </c>
      <c r="K583">
        <v>286</v>
      </c>
    </row>
    <row r="584" spans="1:11" x14ac:dyDescent="0.25">
      <c r="A584">
        <v>29044</v>
      </c>
      <c r="B584" t="s">
        <v>454</v>
      </c>
      <c r="C584" t="s">
        <v>54</v>
      </c>
      <c r="E584" t="s">
        <v>1122</v>
      </c>
      <c r="F584">
        <v>63</v>
      </c>
      <c r="G584">
        <v>1973</v>
      </c>
      <c r="H584">
        <v>393</v>
      </c>
      <c r="I584">
        <v>7.97</v>
      </c>
      <c r="J584">
        <v>282.44799999999998</v>
      </c>
      <c r="K584">
        <v>0</v>
      </c>
    </row>
    <row r="585" spans="1:11" x14ac:dyDescent="0.25">
      <c r="A585">
        <v>15049</v>
      </c>
      <c r="B585" t="s">
        <v>1611</v>
      </c>
      <c r="C585" t="s">
        <v>306</v>
      </c>
      <c r="E585" t="s">
        <v>696</v>
      </c>
      <c r="F585">
        <v>33</v>
      </c>
      <c r="G585">
        <v>1953</v>
      </c>
      <c r="H585">
        <v>807</v>
      </c>
      <c r="I585">
        <v>0</v>
      </c>
      <c r="J585">
        <v>0</v>
      </c>
      <c r="K585">
        <v>0</v>
      </c>
    </row>
    <row r="586" spans="1:11" x14ac:dyDescent="0.25">
      <c r="A586">
        <v>12036</v>
      </c>
      <c r="B586" t="s">
        <v>455</v>
      </c>
      <c r="C586" t="s">
        <v>32</v>
      </c>
      <c r="E586" t="s">
        <v>58</v>
      </c>
      <c r="F586">
        <v>73</v>
      </c>
      <c r="G586">
        <v>1939</v>
      </c>
      <c r="H586">
        <v>385</v>
      </c>
      <c r="I586">
        <v>4.383</v>
      </c>
      <c r="J586">
        <v>312.47199999999998</v>
      </c>
      <c r="K586">
        <v>114</v>
      </c>
    </row>
    <row r="587" spans="1:11" x14ac:dyDescent="0.25">
      <c r="A587">
        <v>98432</v>
      </c>
      <c r="B587" t="s">
        <v>456</v>
      </c>
      <c r="C587" t="s">
        <v>16</v>
      </c>
      <c r="E587" t="s">
        <v>1176</v>
      </c>
      <c r="F587">
        <v>42</v>
      </c>
      <c r="G587">
        <v>1946</v>
      </c>
      <c r="H587">
        <v>264</v>
      </c>
      <c r="I587">
        <v>12.016</v>
      </c>
      <c r="J587">
        <v>653.13699999999994</v>
      </c>
      <c r="K587">
        <v>228</v>
      </c>
    </row>
    <row r="588" spans="1:11" x14ac:dyDescent="0.25">
      <c r="A588">
        <v>25067</v>
      </c>
      <c r="B588" t="s">
        <v>458</v>
      </c>
      <c r="C588" t="s">
        <v>18</v>
      </c>
      <c r="D588" t="s">
        <v>1053</v>
      </c>
      <c r="E588" t="s">
        <v>1182</v>
      </c>
      <c r="F588">
        <v>56</v>
      </c>
      <c r="G588">
        <v>1963</v>
      </c>
      <c r="H588">
        <v>808</v>
      </c>
      <c r="I588">
        <v>0</v>
      </c>
      <c r="J588">
        <v>0</v>
      </c>
      <c r="K588">
        <v>0</v>
      </c>
    </row>
    <row r="589" spans="1:11" x14ac:dyDescent="0.25">
      <c r="A589">
        <v>15079</v>
      </c>
      <c r="B589" t="s">
        <v>1612</v>
      </c>
      <c r="C589" t="s">
        <v>39</v>
      </c>
      <c r="E589" t="s">
        <v>1136</v>
      </c>
      <c r="F589">
        <v>13</v>
      </c>
      <c r="G589">
        <v>1982</v>
      </c>
      <c r="H589">
        <v>223</v>
      </c>
      <c r="I589">
        <v>14.218999999999999</v>
      </c>
      <c r="J589">
        <v>867.16899999999998</v>
      </c>
      <c r="K589">
        <v>350</v>
      </c>
    </row>
    <row r="590" spans="1:11" x14ac:dyDescent="0.25">
      <c r="A590">
        <v>10060</v>
      </c>
      <c r="B590" t="s">
        <v>459</v>
      </c>
      <c r="C590" t="s">
        <v>94</v>
      </c>
      <c r="D590" t="s">
        <v>1053</v>
      </c>
      <c r="E590" t="s">
        <v>127</v>
      </c>
      <c r="F590">
        <v>62</v>
      </c>
      <c r="G590">
        <v>1979</v>
      </c>
      <c r="H590">
        <v>809</v>
      </c>
      <c r="I590">
        <v>0</v>
      </c>
      <c r="J590">
        <v>0</v>
      </c>
      <c r="K590">
        <v>0</v>
      </c>
    </row>
    <row r="591" spans="1:11" x14ac:dyDescent="0.25">
      <c r="A591">
        <v>96056</v>
      </c>
      <c r="B591" t="s">
        <v>460</v>
      </c>
      <c r="C591" t="s">
        <v>228</v>
      </c>
      <c r="E591" t="s">
        <v>1136</v>
      </c>
      <c r="F591">
        <v>13</v>
      </c>
      <c r="G591">
        <v>1952</v>
      </c>
      <c r="H591">
        <v>592</v>
      </c>
      <c r="I591">
        <v>2</v>
      </c>
      <c r="J591">
        <v>52.576000000000001</v>
      </c>
      <c r="K591">
        <v>0</v>
      </c>
    </row>
    <row r="592" spans="1:11" x14ac:dyDescent="0.25">
      <c r="A592">
        <v>97240</v>
      </c>
      <c r="B592" t="s">
        <v>461</v>
      </c>
      <c r="C592" t="s">
        <v>67</v>
      </c>
      <c r="E592" t="s">
        <v>1164</v>
      </c>
      <c r="F592">
        <v>2</v>
      </c>
      <c r="G592">
        <v>1950</v>
      </c>
      <c r="H592">
        <v>453</v>
      </c>
      <c r="I592">
        <v>2.5939999999999999</v>
      </c>
      <c r="J592">
        <v>202.20699999999999</v>
      </c>
      <c r="K592">
        <v>89</v>
      </c>
    </row>
    <row r="593" spans="1:11" x14ac:dyDescent="0.25">
      <c r="A593">
        <v>98480</v>
      </c>
      <c r="B593" t="s">
        <v>462</v>
      </c>
      <c r="C593" t="s">
        <v>20</v>
      </c>
      <c r="D593" t="s">
        <v>1053</v>
      </c>
      <c r="E593" t="s">
        <v>1116</v>
      </c>
      <c r="F593">
        <v>20</v>
      </c>
      <c r="G593">
        <v>1958</v>
      </c>
      <c r="H593">
        <v>524</v>
      </c>
      <c r="I593">
        <v>1.3280000000000001</v>
      </c>
      <c r="J593">
        <v>102.328</v>
      </c>
      <c r="K593">
        <v>45</v>
      </c>
    </row>
    <row r="594" spans="1:11" x14ac:dyDescent="0.25">
      <c r="A594">
        <v>98418</v>
      </c>
      <c r="B594" t="s">
        <v>463</v>
      </c>
      <c r="C594" t="s">
        <v>33</v>
      </c>
      <c r="E594" t="s">
        <v>1142</v>
      </c>
      <c r="F594">
        <v>64</v>
      </c>
      <c r="G594">
        <v>1952</v>
      </c>
      <c r="H594">
        <v>240</v>
      </c>
      <c r="I594">
        <v>14.938000000000001</v>
      </c>
      <c r="J594">
        <v>757.947</v>
      </c>
      <c r="K594">
        <v>137</v>
      </c>
    </row>
    <row r="595" spans="1:11" x14ac:dyDescent="0.25">
      <c r="A595">
        <v>10027</v>
      </c>
      <c r="B595" t="s">
        <v>464</v>
      </c>
      <c r="C595" t="s">
        <v>33</v>
      </c>
      <c r="E595" t="s">
        <v>65</v>
      </c>
      <c r="F595">
        <v>67</v>
      </c>
      <c r="G595">
        <v>1954</v>
      </c>
      <c r="H595">
        <v>810</v>
      </c>
      <c r="I595">
        <v>0</v>
      </c>
      <c r="J595">
        <v>0</v>
      </c>
      <c r="K595">
        <v>0</v>
      </c>
    </row>
    <row r="596" spans="1:11" x14ac:dyDescent="0.25">
      <c r="A596">
        <v>10028</v>
      </c>
      <c r="B596" t="s">
        <v>465</v>
      </c>
      <c r="C596" t="s">
        <v>122</v>
      </c>
      <c r="D596" t="s">
        <v>1053</v>
      </c>
      <c r="E596" t="s">
        <v>65</v>
      </c>
      <c r="F596">
        <v>67</v>
      </c>
      <c r="G596">
        <v>1951</v>
      </c>
      <c r="H596">
        <v>811</v>
      </c>
      <c r="I596">
        <v>0</v>
      </c>
      <c r="J596">
        <v>0</v>
      </c>
      <c r="K596">
        <v>0</v>
      </c>
    </row>
    <row r="597" spans="1:11" x14ac:dyDescent="0.25">
      <c r="A597">
        <v>10056</v>
      </c>
      <c r="B597" t="s">
        <v>466</v>
      </c>
      <c r="C597" t="s">
        <v>112</v>
      </c>
      <c r="D597" t="s">
        <v>1053</v>
      </c>
      <c r="E597" t="s">
        <v>1176</v>
      </c>
      <c r="F597">
        <v>42</v>
      </c>
      <c r="G597">
        <v>1997</v>
      </c>
      <c r="H597">
        <v>474</v>
      </c>
      <c r="I597">
        <v>4.125</v>
      </c>
      <c r="J597">
        <v>172.215</v>
      </c>
      <c r="K597">
        <v>0</v>
      </c>
    </row>
    <row r="598" spans="1:11" x14ac:dyDescent="0.25">
      <c r="A598">
        <v>15043</v>
      </c>
      <c r="B598" t="s">
        <v>1613</v>
      </c>
      <c r="C598" t="s">
        <v>448</v>
      </c>
      <c r="D598" t="s">
        <v>1053</v>
      </c>
      <c r="E598" t="s">
        <v>1162</v>
      </c>
      <c r="F598">
        <v>51</v>
      </c>
      <c r="G598">
        <v>1948</v>
      </c>
      <c r="H598">
        <v>177</v>
      </c>
      <c r="I598">
        <v>14.831</v>
      </c>
      <c r="J598">
        <v>1220.6130000000001</v>
      </c>
      <c r="K598">
        <v>586</v>
      </c>
    </row>
    <row r="599" spans="1:11" x14ac:dyDescent="0.25">
      <c r="A599">
        <v>21836</v>
      </c>
      <c r="B599" t="s">
        <v>467</v>
      </c>
      <c r="C599" t="s">
        <v>34</v>
      </c>
      <c r="E599" t="s">
        <v>1119</v>
      </c>
      <c r="F599">
        <v>54</v>
      </c>
      <c r="G599">
        <v>1963</v>
      </c>
      <c r="H599">
        <v>84</v>
      </c>
      <c r="I599">
        <v>21.626000000000001</v>
      </c>
      <c r="J599">
        <v>2100.4070000000002</v>
      </c>
      <c r="K599">
        <v>1217</v>
      </c>
    </row>
    <row r="600" spans="1:11" x14ac:dyDescent="0.25">
      <c r="A600">
        <v>28001</v>
      </c>
      <c r="B600" t="s">
        <v>468</v>
      </c>
      <c r="C600" t="s">
        <v>138</v>
      </c>
      <c r="D600" t="s">
        <v>1053</v>
      </c>
      <c r="E600" t="s">
        <v>1119</v>
      </c>
      <c r="F600">
        <v>54</v>
      </c>
      <c r="G600">
        <v>1965</v>
      </c>
      <c r="H600">
        <v>104</v>
      </c>
      <c r="I600">
        <v>20.064</v>
      </c>
      <c r="J600">
        <v>1847.44</v>
      </c>
      <c r="K600">
        <v>1032</v>
      </c>
    </row>
    <row r="601" spans="1:11" x14ac:dyDescent="0.25">
      <c r="A601">
        <v>12042</v>
      </c>
      <c r="B601" t="s">
        <v>469</v>
      </c>
      <c r="C601" t="s">
        <v>54</v>
      </c>
      <c r="E601" t="s">
        <v>58</v>
      </c>
      <c r="F601">
        <v>73</v>
      </c>
      <c r="G601">
        <v>1945</v>
      </c>
      <c r="H601">
        <v>126</v>
      </c>
      <c r="I601">
        <v>19.626000000000001</v>
      </c>
      <c r="J601">
        <v>1674.8040000000001</v>
      </c>
      <c r="K601">
        <v>829</v>
      </c>
    </row>
    <row r="602" spans="1:11" x14ac:dyDescent="0.25">
      <c r="A602">
        <v>12032</v>
      </c>
      <c r="B602" t="s">
        <v>470</v>
      </c>
      <c r="C602" t="s">
        <v>109</v>
      </c>
      <c r="D602" t="s">
        <v>1053</v>
      </c>
      <c r="E602" t="s">
        <v>1169</v>
      </c>
      <c r="F602">
        <v>76</v>
      </c>
      <c r="G602">
        <v>1947</v>
      </c>
      <c r="H602">
        <v>328</v>
      </c>
      <c r="I602">
        <v>8.8279999999999994</v>
      </c>
      <c r="J602">
        <v>459.846</v>
      </c>
      <c r="K602">
        <v>148</v>
      </c>
    </row>
    <row r="603" spans="1:11" x14ac:dyDescent="0.25">
      <c r="A603">
        <v>10029</v>
      </c>
      <c r="B603" t="s">
        <v>471</v>
      </c>
      <c r="C603" t="s">
        <v>72</v>
      </c>
      <c r="E603" t="s">
        <v>65</v>
      </c>
      <c r="F603">
        <v>67</v>
      </c>
      <c r="G603">
        <v>1954</v>
      </c>
      <c r="H603">
        <v>812</v>
      </c>
      <c r="I603">
        <v>0</v>
      </c>
      <c r="J603">
        <v>0</v>
      </c>
      <c r="K603">
        <v>0</v>
      </c>
    </row>
    <row r="604" spans="1:11" x14ac:dyDescent="0.25">
      <c r="A604">
        <v>96229</v>
      </c>
      <c r="B604" t="s">
        <v>472</v>
      </c>
      <c r="C604" t="s">
        <v>78</v>
      </c>
      <c r="E604" t="s">
        <v>1174</v>
      </c>
      <c r="F604">
        <v>28</v>
      </c>
      <c r="G604">
        <v>1959</v>
      </c>
      <c r="H604">
        <v>660</v>
      </c>
      <c r="I604">
        <v>0.438</v>
      </c>
      <c r="J604">
        <v>16.085999999999999</v>
      </c>
      <c r="K604">
        <v>0</v>
      </c>
    </row>
    <row r="605" spans="1:11" x14ac:dyDescent="0.25">
      <c r="A605">
        <v>21768</v>
      </c>
      <c r="B605" t="s">
        <v>473</v>
      </c>
      <c r="C605" t="s">
        <v>54</v>
      </c>
      <c r="E605" t="s">
        <v>680</v>
      </c>
      <c r="F605">
        <v>19</v>
      </c>
      <c r="G605">
        <v>1963</v>
      </c>
      <c r="H605">
        <v>79</v>
      </c>
      <c r="I605">
        <v>27.062999999999999</v>
      </c>
      <c r="J605">
        <v>2156.3310000000001</v>
      </c>
      <c r="K605">
        <v>950</v>
      </c>
    </row>
    <row r="606" spans="1:11" x14ac:dyDescent="0.25">
      <c r="A606">
        <v>23072</v>
      </c>
      <c r="B606" t="s">
        <v>475</v>
      </c>
      <c r="C606" t="s">
        <v>346</v>
      </c>
      <c r="D606" t="s">
        <v>1053</v>
      </c>
      <c r="E606" t="s">
        <v>680</v>
      </c>
      <c r="F606">
        <v>19</v>
      </c>
      <c r="G606">
        <v>1966</v>
      </c>
      <c r="H606">
        <v>91</v>
      </c>
      <c r="I606">
        <v>25.562999999999999</v>
      </c>
      <c r="J606">
        <v>2005.5409999999999</v>
      </c>
      <c r="K606">
        <v>875</v>
      </c>
    </row>
    <row r="607" spans="1:11" x14ac:dyDescent="0.25">
      <c r="A607">
        <v>11005</v>
      </c>
      <c r="B607" t="s">
        <v>476</v>
      </c>
      <c r="C607" t="s">
        <v>474</v>
      </c>
      <c r="D607" t="s">
        <v>1048</v>
      </c>
      <c r="E607" t="s">
        <v>1122</v>
      </c>
      <c r="F607">
        <v>63</v>
      </c>
      <c r="G607">
        <v>2003</v>
      </c>
      <c r="H607">
        <v>297</v>
      </c>
      <c r="I607">
        <v>14.627000000000001</v>
      </c>
      <c r="J607">
        <v>539.11599999999999</v>
      </c>
      <c r="K607">
        <v>20</v>
      </c>
    </row>
    <row r="608" spans="1:11" x14ac:dyDescent="0.25">
      <c r="A608">
        <v>15005</v>
      </c>
      <c r="B608" t="s">
        <v>476</v>
      </c>
      <c r="C608" t="s">
        <v>15</v>
      </c>
      <c r="E608" t="s">
        <v>1122</v>
      </c>
      <c r="F608">
        <v>63</v>
      </c>
      <c r="G608">
        <v>1943</v>
      </c>
      <c r="H608">
        <v>357</v>
      </c>
      <c r="I608">
        <v>10.968999999999999</v>
      </c>
      <c r="J608">
        <v>391.48</v>
      </c>
      <c r="K608">
        <v>0</v>
      </c>
    </row>
    <row r="609" spans="1:11" x14ac:dyDescent="0.25">
      <c r="A609">
        <v>29042</v>
      </c>
      <c r="B609" t="s">
        <v>476</v>
      </c>
      <c r="C609" t="s">
        <v>218</v>
      </c>
      <c r="E609" t="s">
        <v>1122</v>
      </c>
      <c r="F609">
        <v>63</v>
      </c>
      <c r="G609">
        <v>1964</v>
      </c>
      <c r="H609">
        <v>340</v>
      </c>
      <c r="I609">
        <v>11.096</v>
      </c>
      <c r="J609">
        <v>430.26100000000002</v>
      </c>
      <c r="K609">
        <v>20</v>
      </c>
    </row>
    <row r="610" spans="1:11" x14ac:dyDescent="0.25">
      <c r="A610">
        <v>10046</v>
      </c>
      <c r="B610" t="s">
        <v>477</v>
      </c>
      <c r="C610" t="s">
        <v>478</v>
      </c>
      <c r="D610" t="s">
        <v>139</v>
      </c>
      <c r="E610" t="s">
        <v>1122</v>
      </c>
      <c r="F610">
        <v>63</v>
      </c>
      <c r="G610">
        <v>2001</v>
      </c>
      <c r="H610">
        <v>370</v>
      </c>
      <c r="I610">
        <v>9.5640000000000001</v>
      </c>
      <c r="J610">
        <v>355.995</v>
      </c>
      <c r="K610">
        <v>20</v>
      </c>
    </row>
    <row r="611" spans="1:11" x14ac:dyDescent="0.25">
      <c r="A611">
        <v>11003</v>
      </c>
      <c r="B611" t="s">
        <v>477</v>
      </c>
      <c r="C611" t="s">
        <v>367</v>
      </c>
      <c r="D611" t="s">
        <v>1053</v>
      </c>
      <c r="E611" t="s">
        <v>1122</v>
      </c>
      <c r="F611">
        <v>63</v>
      </c>
      <c r="G611">
        <v>1972</v>
      </c>
      <c r="H611">
        <v>434</v>
      </c>
      <c r="I611">
        <v>6.3129999999999997</v>
      </c>
      <c r="J611">
        <v>234.63300000000001</v>
      </c>
      <c r="K611">
        <v>15</v>
      </c>
    </row>
    <row r="612" spans="1:11" x14ac:dyDescent="0.25">
      <c r="A612">
        <v>13009</v>
      </c>
      <c r="B612" t="s">
        <v>479</v>
      </c>
      <c r="C612" t="s">
        <v>457</v>
      </c>
      <c r="E612" t="s">
        <v>1175</v>
      </c>
      <c r="F612">
        <v>75</v>
      </c>
      <c r="G612">
        <v>1953</v>
      </c>
      <c r="H612">
        <v>449</v>
      </c>
      <c r="I612">
        <v>3.3130000000000002</v>
      </c>
      <c r="J612">
        <v>209.745</v>
      </c>
      <c r="K612">
        <v>76</v>
      </c>
    </row>
    <row r="613" spans="1:11" x14ac:dyDescent="0.25">
      <c r="A613">
        <v>21859</v>
      </c>
      <c r="B613" t="s">
        <v>481</v>
      </c>
      <c r="C613" t="s">
        <v>15</v>
      </c>
      <c r="E613" t="s">
        <v>696</v>
      </c>
      <c r="F613">
        <v>33</v>
      </c>
      <c r="G613">
        <v>1958</v>
      </c>
      <c r="H613">
        <v>649</v>
      </c>
      <c r="I613">
        <v>0.625</v>
      </c>
      <c r="J613">
        <v>25.488</v>
      </c>
      <c r="K613">
        <v>0</v>
      </c>
    </row>
    <row r="614" spans="1:11" x14ac:dyDescent="0.25">
      <c r="A614">
        <v>12060</v>
      </c>
      <c r="B614" t="s">
        <v>482</v>
      </c>
      <c r="C614" t="s">
        <v>171</v>
      </c>
      <c r="D614" t="s">
        <v>1053</v>
      </c>
      <c r="E614" t="s">
        <v>1142</v>
      </c>
      <c r="F614">
        <v>64</v>
      </c>
      <c r="G614">
        <v>1991</v>
      </c>
      <c r="H614">
        <v>333</v>
      </c>
      <c r="I614">
        <v>5.0309999999999997</v>
      </c>
      <c r="J614">
        <v>449.42899999999997</v>
      </c>
      <c r="K614">
        <v>220</v>
      </c>
    </row>
    <row r="615" spans="1:11" x14ac:dyDescent="0.25">
      <c r="A615">
        <v>21860</v>
      </c>
      <c r="B615" t="s">
        <v>484</v>
      </c>
      <c r="C615" t="s">
        <v>80</v>
      </c>
      <c r="E615" t="s">
        <v>696</v>
      </c>
      <c r="F615">
        <v>33</v>
      </c>
      <c r="G615">
        <v>1955</v>
      </c>
      <c r="H615">
        <v>813</v>
      </c>
      <c r="I615">
        <v>0</v>
      </c>
      <c r="J615">
        <v>0</v>
      </c>
      <c r="K615">
        <v>0</v>
      </c>
    </row>
    <row r="616" spans="1:11" x14ac:dyDescent="0.25">
      <c r="A616">
        <v>10065</v>
      </c>
      <c r="B616" t="s">
        <v>485</v>
      </c>
      <c r="C616" t="s">
        <v>486</v>
      </c>
      <c r="E616" t="s">
        <v>1101</v>
      </c>
      <c r="F616">
        <v>14</v>
      </c>
      <c r="G616">
        <v>1992</v>
      </c>
      <c r="H616">
        <v>642</v>
      </c>
      <c r="I616">
        <v>0.75</v>
      </c>
      <c r="J616">
        <v>28.702999999999999</v>
      </c>
      <c r="K616">
        <v>0</v>
      </c>
    </row>
    <row r="617" spans="1:11" x14ac:dyDescent="0.25">
      <c r="A617">
        <v>10064</v>
      </c>
      <c r="B617" t="s">
        <v>485</v>
      </c>
      <c r="C617" t="s">
        <v>487</v>
      </c>
      <c r="E617" t="s">
        <v>1101</v>
      </c>
      <c r="F617">
        <v>14</v>
      </c>
      <c r="G617">
        <v>1987</v>
      </c>
      <c r="H617">
        <v>136</v>
      </c>
      <c r="I617">
        <v>20.439</v>
      </c>
      <c r="J617">
        <v>1579.3320000000001</v>
      </c>
      <c r="K617">
        <v>697</v>
      </c>
    </row>
    <row r="618" spans="1:11" x14ac:dyDescent="0.25">
      <c r="A618">
        <v>16084</v>
      </c>
      <c r="B618" t="s">
        <v>1614</v>
      </c>
      <c r="C618" t="s">
        <v>32</v>
      </c>
      <c r="E618" t="s">
        <v>1441</v>
      </c>
      <c r="F618">
        <v>84</v>
      </c>
      <c r="G618">
        <v>1949</v>
      </c>
      <c r="H618">
        <v>814</v>
      </c>
      <c r="I618">
        <v>0</v>
      </c>
      <c r="J618">
        <v>0</v>
      </c>
      <c r="K618">
        <v>0</v>
      </c>
    </row>
    <row r="619" spans="1:11" x14ac:dyDescent="0.25">
      <c r="A619">
        <v>16121</v>
      </c>
      <c r="B619" t="s">
        <v>1736</v>
      </c>
      <c r="C619" t="s">
        <v>98</v>
      </c>
      <c r="D619" t="s">
        <v>1053</v>
      </c>
      <c r="E619" t="s">
        <v>1176</v>
      </c>
      <c r="F619">
        <v>42</v>
      </c>
      <c r="G619">
        <v>1933</v>
      </c>
      <c r="H619">
        <v>815</v>
      </c>
      <c r="I619">
        <v>0</v>
      </c>
      <c r="J619">
        <v>0</v>
      </c>
      <c r="K619">
        <v>0</v>
      </c>
    </row>
    <row r="620" spans="1:11" x14ac:dyDescent="0.25">
      <c r="A620">
        <v>27069</v>
      </c>
      <c r="B620" t="s">
        <v>488</v>
      </c>
      <c r="C620" t="s">
        <v>39</v>
      </c>
      <c r="E620" t="s">
        <v>1172</v>
      </c>
      <c r="F620">
        <v>24</v>
      </c>
      <c r="G620">
        <v>1986</v>
      </c>
      <c r="H620">
        <v>21</v>
      </c>
      <c r="I620">
        <v>41.375</v>
      </c>
      <c r="J620">
        <v>3212.913</v>
      </c>
      <c r="K620">
        <v>1594</v>
      </c>
    </row>
    <row r="621" spans="1:11" x14ac:dyDescent="0.25">
      <c r="A621">
        <v>26074</v>
      </c>
      <c r="B621" t="s">
        <v>488</v>
      </c>
      <c r="C621" t="s">
        <v>195</v>
      </c>
      <c r="E621" t="s">
        <v>1172</v>
      </c>
      <c r="F621">
        <v>24</v>
      </c>
      <c r="G621">
        <v>1984</v>
      </c>
      <c r="H621">
        <v>39</v>
      </c>
      <c r="I621">
        <v>36.375</v>
      </c>
      <c r="J621">
        <v>2803.03</v>
      </c>
      <c r="K621">
        <v>1330</v>
      </c>
    </row>
    <row r="622" spans="1:11" x14ac:dyDescent="0.25">
      <c r="A622">
        <v>16085</v>
      </c>
      <c r="B622" t="s">
        <v>1615</v>
      </c>
      <c r="C622" t="s">
        <v>15</v>
      </c>
      <c r="E622" t="s">
        <v>1441</v>
      </c>
      <c r="F622">
        <v>84</v>
      </c>
      <c r="G622">
        <v>1946</v>
      </c>
      <c r="H622">
        <v>456</v>
      </c>
      <c r="I622">
        <v>5.1020000000000003</v>
      </c>
      <c r="J622">
        <v>198.76300000000001</v>
      </c>
      <c r="K622">
        <v>56</v>
      </c>
    </row>
    <row r="623" spans="1:11" x14ac:dyDescent="0.25">
      <c r="A623">
        <v>29009</v>
      </c>
      <c r="B623" t="s">
        <v>490</v>
      </c>
      <c r="C623" t="s">
        <v>182</v>
      </c>
      <c r="D623" t="s">
        <v>1053</v>
      </c>
      <c r="E623" t="s">
        <v>1176</v>
      </c>
      <c r="F623">
        <v>42</v>
      </c>
      <c r="G623">
        <v>1969</v>
      </c>
      <c r="H623">
        <v>144</v>
      </c>
      <c r="I623">
        <v>26.5</v>
      </c>
      <c r="J623">
        <v>1515.181</v>
      </c>
      <c r="K623">
        <v>556</v>
      </c>
    </row>
    <row r="624" spans="1:11" x14ac:dyDescent="0.25">
      <c r="A624">
        <v>15053</v>
      </c>
      <c r="B624" t="s">
        <v>1616</v>
      </c>
      <c r="C624" t="s">
        <v>194</v>
      </c>
      <c r="D624" t="s">
        <v>139</v>
      </c>
      <c r="E624" t="s">
        <v>1171</v>
      </c>
      <c r="F624">
        <v>74</v>
      </c>
      <c r="G624">
        <v>1999</v>
      </c>
      <c r="H624">
        <v>303</v>
      </c>
      <c r="I624">
        <v>9.1880000000000006</v>
      </c>
      <c r="J624">
        <v>528.81299999999999</v>
      </c>
      <c r="K624">
        <v>166</v>
      </c>
    </row>
    <row r="625" spans="1:11" x14ac:dyDescent="0.25">
      <c r="A625">
        <v>16008</v>
      </c>
      <c r="B625" t="s">
        <v>1617</v>
      </c>
      <c r="C625" t="s">
        <v>111</v>
      </c>
      <c r="E625" t="s">
        <v>1142</v>
      </c>
      <c r="F625">
        <v>64</v>
      </c>
      <c r="G625">
        <v>1971</v>
      </c>
      <c r="H625">
        <v>514</v>
      </c>
      <c r="I625">
        <v>1.532</v>
      </c>
      <c r="J625">
        <v>117.711</v>
      </c>
      <c r="K625">
        <v>50</v>
      </c>
    </row>
    <row r="626" spans="1:11" x14ac:dyDescent="0.25">
      <c r="A626">
        <v>16086</v>
      </c>
      <c r="B626" t="s">
        <v>1618</v>
      </c>
      <c r="C626" t="s">
        <v>33</v>
      </c>
      <c r="E626" t="s">
        <v>1441</v>
      </c>
      <c r="F626">
        <v>84</v>
      </c>
      <c r="G626">
        <v>1950</v>
      </c>
      <c r="H626">
        <v>397</v>
      </c>
      <c r="I626">
        <v>7.3049999999999997</v>
      </c>
      <c r="J626">
        <v>276.31599999999997</v>
      </c>
      <c r="K626">
        <v>56</v>
      </c>
    </row>
    <row r="627" spans="1:11" x14ac:dyDescent="0.25">
      <c r="A627">
        <v>98379</v>
      </c>
      <c r="B627" t="s">
        <v>491</v>
      </c>
      <c r="C627" t="s">
        <v>125</v>
      </c>
      <c r="E627" t="s">
        <v>1122</v>
      </c>
      <c r="F627">
        <v>63</v>
      </c>
      <c r="G627">
        <v>1953</v>
      </c>
      <c r="H627">
        <v>132</v>
      </c>
      <c r="I627">
        <v>19.797000000000001</v>
      </c>
      <c r="J627">
        <v>1615.0329999999999</v>
      </c>
      <c r="K627">
        <v>741</v>
      </c>
    </row>
    <row r="628" spans="1:11" x14ac:dyDescent="0.25">
      <c r="A628">
        <v>21811</v>
      </c>
      <c r="B628" t="s">
        <v>492</v>
      </c>
      <c r="C628" t="s">
        <v>493</v>
      </c>
      <c r="E628" t="s">
        <v>1176</v>
      </c>
      <c r="F628">
        <v>42</v>
      </c>
      <c r="G628">
        <v>1968</v>
      </c>
      <c r="H628">
        <v>816</v>
      </c>
      <c r="I628">
        <v>0</v>
      </c>
      <c r="J628">
        <v>0</v>
      </c>
      <c r="K628">
        <v>0</v>
      </c>
    </row>
    <row r="629" spans="1:11" x14ac:dyDescent="0.25">
      <c r="A629">
        <v>21807</v>
      </c>
      <c r="B629" t="s">
        <v>494</v>
      </c>
      <c r="C629" t="s">
        <v>101</v>
      </c>
      <c r="D629" t="s">
        <v>1053</v>
      </c>
      <c r="E629" t="s">
        <v>1176</v>
      </c>
      <c r="F629">
        <v>42</v>
      </c>
      <c r="G629">
        <v>1968</v>
      </c>
      <c r="H629">
        <v>405</v>
      </c>
      <c r="I629">
        <v>7.0010000000000003</v>
      </c>
      <c r="J629">
        <v>266.81799999999998</v>
      </c>
      <c r="K629">
        <v>34</v>
      </c>
    </row>
    <row r="630" spans="1:11" x14ac:dyDescent="0.25">
      <c r="A630">
        <v>12048</v>
      </c>
      <c r="B630" t="s">
        <v>495</v>
      </c>
      <c r="C630" t="s">
        <v>228</v>
      </c>
      <c r="E630" t="s">
        <v>1101</v>
      </c>
      <c r="F630">
        <v>14</v>
      </c>
      <c r="G630">
        <v>1966</v>
      </c>
      <c r="H630">
        <v>111</v>
      </c>
      <c r="I630">
        <v>25.187999999999999</v>
      </c>
      <c r="J630">
        <v>1818.5409999999999</v>
      </c>
      <c r="K630">
        <v>752</v>
      </c>
    </row>
    <row r="631" spans="1:11" x14ac:dyDescent="0.25">
      <c r="A631">
        <v>99555</v>
      </c>
      <c r="B631" t="s">
        <v>496</v>
      </c>
      <c r="C631" t="s">
        <v>24</v>
      </c>
      <c r="E631" t="s">
        <v>1101</v>
      </c>
      <c r="F631">
        <v>14</v>
      </c>
      <c r="G631">
        <v>1981</v>
      </c>
      <c r="H631">
        <v>38</v>
      </c>
      <c r="I631">
        <v>30.937999999999999</v>
      </c>
      <c r="J631">
        <v>2805.8020000000001</v>
      </c>
      <c r="K631">
        <v>1542</v>
      </c>
    </row>
    <row r="632" spans="1:11" x14ac:dyDescent="0.25">
      <c r="A632">
        <v>15023</v>
      </c>
      <c r="B632" t="s">
        <v>497</v>
      </c>
      <c r="C632" t="s">
        <v>457</v>
      </c>
      <c r="E632" t="s">
        <v>1119</v>
      </c>
      <c r="F632">
        <v>54</v>
      </c>
      <c r="G632">
        <v>1965</v>
      </c>
      <c r="H632">
        <v>73</v>
      </c>
      <c r="I632">
        <v>28.72</v>
      </c>
      <c r="J632">
        <v>2229.902</v>
      </c>
      <c r="K632">
        <v>1127</v>
      </c>
    </row>
    <row r="633" spans="1:11" x14ac:dyDescent="0.25">
      <c r="A633">
        <v>25016</v>
      </c>
      <c r="B633" t="s">
        <v>497</v>
      </c>
      <c r="C633" t="s">
        <v>33</v>
      </c>
      <c r="E633" t="s">
        <v>1170</v>
      </c>
      <c r="F633">
        <v>55</v>
      </c>
      <c r="G633">
        <v>1959</v>
      </c>
      <c r="H633">
        <v>399</v>
      </c>
      <c r="I633">
        <v>3.14</v>
      </c>
      <c r="J633">
        <v>273.48099999999999</v>
      </c>
      <c r="K633">
        <v>126</v>
      </c>
    </row>
    <row r="634" spans="1:11" x14ac:dyDescent="0.25">
      <c r="A634">
        <v>29021</v>
      </c>
      <c r="B634" t="s">
        <v>498</v>
      </c>
      <c r="C634" t="s">
        <v>36</v>
      </c>
      <c r="D634" t="s">
        <v>1053</v>
      </c>
      <c r="E634" t="s">
        <v>1170</v>
      </c>
      <c r="F634">
        <v>55</v>
      </c>
      <c r="G634">
        <v>1960</v>
      </c>
      <c r="H634">
        <v>604</v>
      </c>
      <c r="I634">
        <v>0.98399999999999999</v>
      </c>
      <c r="J634">
        <v>43.015999999999998</v>
      </c>
      <c r="K634">
        <v>0</v>
      </c>
    </row>
    <row r="635" spans="1:11" x14ac:dyDescent="0.25">
      <c r="A635">
        <v>25079</v>
      </c>
      <c r="B635" t="s">
        <v>499</v>
      </c>
      <c r="C635" t="s">
        <v>500</v>
      </c>
      <c r="D635" t="s">
        <v>1053</v>
      </c>
      <c r="E635" t="s">
        <v>1123</v>
      </c>
      <c r="F635">
        <v>27</v>
      </c>
      <c r="G635">
        <v>1970</v>
      </c>
      <c r="H635">
        <v>194</v>
      </c>
      <c r="I635">
        <v>11.329000000000001</v>
      </c>
      <c r="J635">
        <v>1093.9280000000001</v>
      </c>
      <c r="K635">
        <v>581</v>
      </c>
    </row>
    <row r="636" spans="1:11" x14ac:dyDescent="0.25">
      <c r="A636">
        <v>14003</v>
      </c>
      <c r="B636" t="s">
        <v>501</v>
      </c>
      <c r="C636" t="s">
        <v>443</v>
      </c>
      <c r="D636" t="s">
        <v>1048</v>
      </c>
      <c r="E636" t="s">
        <v>1134</v>
      </c>
      <c r="F636">
        <v>69</v>
      </c>
      <c r="G636">
        <v>2004</v>
      </c>
      <c r="H636">
        <v>476</v>
      </c>
      <c r="I636">
        <v>3.7730000000000001</v>
      </c>
      <c r="J636">
        <v>169.12299999999999</v>
      </c>
      <c r="K636">
        <v>20</v>
      </c>
    </row>
    <row r="637" spans="1:11" x14ac:dyDescent="0.25">
      <c r="A637">
        <v>12023</v>
      </c>
      <c r="B637" t="s">
        <v>501</v>
      </c>
      <c r="C637" t="s">
        <v>502</v>
      </c>
      <c r="E637" t="s">
        <v>1134</v>
      </c>
      <c r="F637">
        <v>69</v>
      </c>
      <c r="G637">
        <v>1965</v>
      </c>
      <c r="H637">
        <v>119</v>
      </c>
      <c r="I637">
        <v>21.908000000000001</v>
      </c>
      <c r="J637">
        <v>1752.529</v>
      </c>
      <c r="K637">
        <v>838</v>
      </c>
    </row>
    <row r="638" spans="1:11" x14ac:dyDescent="0.25">
      <c r="A638">
        <v>25017</v>
      </c>
      <c r="B638" t="s">
        <v>503</v>
      </c>
      <c r="C638" t="s">
        <v>20</v>
      </c>
      <c r="D638" t="s">
        <v>1053</v>
      </c>
      <c r="E638" t="s">
        <v>1170</v>
      </c>
      <c r="F638">
        <v>55</v>
      </c>
      <c r="G638">
        <v>1963</v>
      </c>
      <c r="H638">
        <v>40</v>
      </c>
      <c r="I638">
        <v>34</v>
      </c>
      <c r="J638">
        <v>2794.7190000000001</v>
      </c>
      <c r="K638">
        <v>1384</v>
      </c>
    </row>
    <row r="639" spans="1:11" x14ac:dyDescent="0.25">
      <c r="A639">
        <v>10057</v>
      </c>
      <c r="B639" t="s">
        <v>504</v>
      </c>
      <c r="C639" t="s">
        <v>51</v>
      </c>
      <c r="D639" t="s">
        <v>1053</v>
      </c>
      <c r="E639" t="s">
        <v>1176</v>
      </c>
      <c r="F639">
        <v>42</v>
      </c>
      <c r="G639">
        <v>1974</v>
      </c>
      <c r="H639">
        <v>505</v>
      </c>
      <c r="I639">
        <v>2.5939999999999999</v>
      </c>
      <c r="J639">
        <v>129.04400000000001</v>
      </c>
      <c r="K639">
        <v>28</v>
      </c>
    </row>
    <row r="640" spans="1:11" x14ac:dyDescent="0.25">
      <c r="A640">
        <v>21805</v>
      </c>
      <c r="B640" t="s">
        <v>505</v>
      </c>
      <c r="C640" t="s">
        <v>358</v>
      </c>
      <c r="D640" t="s">
        <v>1053</v>
      </c>
      <c r="E640" t="s">
        <v>1176</v>
      </c>
      <c r="F640">
        <v>42</v>
      </c>
      <c r="G640">
        <v>1959</v>
      </c>
      <c r="H640">
        <v>288</v>
      </c>
      <c r="I640">
        <v>12.798999999999999</v>
      </c>
      <c r="J640">
        <v>566.822</v>
      </c>
      <c r="K640">
        <v>107</v>
      </c>
    </row>
    <row r="641" spans="1:11" x14ac:dyDescent="0.25">
      <c r="A641">
        <v>26086</v>
      </c>
      <c r="B641" t="s">
        <v>1619</v>
      </c>
      <c r="C641" t="s">
        <v>33</v>
      </c>
      <c r="E641" t="s">
        <v>1193</v>
      </c>
      <c r="F641">
        <v>36</v>
      </c>
      <c r="G641">
        <v>1989</v>
      </c>
      <c r="H641">
        <v>817</v>
      </c>
      <c r="I641">
        <v>0</v>
      </c>
      <c r="J641">
        <v>0</v>
      </c>
      <c r="K641">
        <v>0</v>
      </c>
    </row>
    <row r="642" spans="1:11" x14ac:dyDescent="0.25">
      <c r="A642">
        <v>15092</v>
      </c>
      <c r="B642" t="s">
        <v>1619</v>
      </c>
      <c r="C642" t="s">
        <v>34</v>
      </c>
      <c r="E642" t="s">
        <v>1193</v>
      </c>
      <c r="F642">
        <v>36</v>
      </c>
      <c r="G642">
        <v>1988</v>
      </c>
      <c r="H642">
        <v>818</v>
      </c>
      <c r="I642">
        <v>0</v>
      </c>
      <c r="J642">
        <v>0</v>
      </c>
      <c r="K642">
        <v>0</v>
      </c>
    </row>
    <row r="643" spans="1:11" x14ac:dyDescent="0.25">
      <c r="A643">
        <v>21825</v>
      </c>
      <c r="B643" t="s">
        <v>506</v>
      </c>
      <c r="C643" t="s">
        <v>36</v>
      </c>
      <c r="D643" t="s">
        <v>1053</v>
      </c>
      <c r="E643" t="s">
        <v>1193</v>
      </c>
      <c r="F643">
        <v>36</v>
      </c>
      <c r="G643">
        <v>1959</v>
      </c>
      <c r="H643">
        <v>819</v>
      </c>
      <c r="I643">
        <v>0</v>
      </c>
      <c r="J643">
        <v>0</v>
      </c>
      <c r="K643">
        <v>0</v>
      </c>
    </row>
    <row r="644" spans="1:11" x14ac:dyDescent="0.25">
      <c r="A644">
        <v>23109</v>
      </c>
      <c r="B644" t="s">
        <v>507</v>
      </c>
      <c r="C644" t="s">
        <v>12</v>
      </c>
      <c r="E644" t="s">
        <v>1149</v>
      </c>
      <c r="F644">
        <v>57</v>
      </c>
      <c r="G644">
        <v>1977</v>
      </c>
      <c r="H644">
        <v>820</v>
      </c>
      <c r="I644">
        <v>0</v>
      </c>
      <c r="J644">
        <v>0</v>
      </c>
      <c r="K644">
        <v>0</v>
      </c>
    </row>
    <row r="645" spans="1:11" x14ac:dyDescent="0.25">
      <c r="A645">
        <v>22007</v>
      </c>
      <c r="B645" t="s">
        <v>508</v>
      </c>
      <c r="C645" t="s">
        <v>72</v>
      </c>
      <c r="E645" t="s">
        <v>1172</v>
      </c>
      <c r="F645">
        <v>24</v>
      </c>
      <c r="G645">
        <v>1977</v>
      </c>
      <c r="H645">
        <v>20</v>
      </c>
      <c r="I645">
        <v>41.125</v>
      </c>
      <c r="J645">
        <v>3278.5369999999998</v>
      </c>
      <c r="K645">
        <v>1460</v>
      </c>
    </row>
    <row r="646" spans="1:11" x14ac:dyDescent="0.25">
      <c r="A646">
        <v>20701</v>
      </c>
      <c r="B646" t="s">
        <v>509</v>
      </c>
      <c r="C646" t="s">
        <v>171</v>
      </c>
      <c r="D646" t="s">
        <v>1053</v>
      </c>
      <c r="E646" t="s">
        <v>678</v>
      </c>
      <c r="F646">
        <v>17</v>
      </c>
      <c r="G646">
        <v>1971</v>
      </c>
      <c r="H646">
        <v>135</v>
      </c>
      <c r="I646">
        <v>17.641999999999999</v>
      </c>
      <c r="J646">
        <v>1590.72</v>
      </c>
      <c r="K646">
        <v>831</v>
      </c>
    </row>
    <row r="647" spans="1:11" x14ac:dyDescent="0.25">
      <c r="A647">
        <v>16131</v>
      </c>
      <c r="B647" t="s">
        <v>1737</v>
      </c>
      <c r="C647" t="s">
        <v>92</v>
      </c>
      <c r="D647" t="s">
        <v>1048</v>
      </c>
      <c r="E647" t="s">
        <v>1164</v>
      </c>
      <c r="F647">
        <v>2</v>
      </c>
      <c r="G647">
        <v>2006</v>
      </c>
      <c r="H647">
        <v>821</v>
      </c>
      <c r="I647">
        <v>0</v>
      </c>
      <c r="J647">
        <v>0</v>
      </c>
      <c r="K647">
        <v>0</v>
      </c>
    </row>
    <row r="648" spans="1:11" x14ac:dyDescent="0.25">
      <c r="A648">
        <v>15089</v>
      </c>
      <c r="B648" t="s">
        <v>1620</v>
      </c>
      <c r="C648" t="s">
        <v>63</v>
      </c>
      <c r="D648" t="s">
        <v>1053</v>
      </c>
      <c r="E648" t="s">
        <v>1174</v>
      </c>
      <c r="F648">
        <v>28</v>
      </c>
      <c r="G648">
        <v>1950</v>
      </c>
      <c r="H648">
        <v>618</v>
      </c>
      <c r="I648">
        <v>1.1259999999999999</v>
      </c>
      <c r="J648">
        <v>37.645000000000003</v>
      </c>
      <c r="K648">
        <v>0</v>
      </c>
    </row>
    <row r="649" spans="1:11" x14ac:dyDescent="0.25">
      <c r="A649">
        <v>16130</v>
      </c>
      <c r="B649" t="s">
        <v>1738</v>
      </c>
      <c r="C649" t="s">
        <v>170</v>
      </c>
      <c r="D649" t="s">
        <v>139</v>
      </c>
      <c r="E649" t="s">
        <v>1164</v>
      </c>
      <c r="F649">
        <v>2</v>
      </c>
      <c r="G649">
        <v>2006</v>
      </c>
      <c r="H649">
        <v>822</v>
      </c>
      <c r="I649">
        <v>0</v>
      </c>
      <c r="J649">
        <v>0</v>
      </c>
      <c r="K649">
        <v>0</v>
      </c>
    </row>
    <row r="650" spans="1:11" x14ac:dyDescent="0.25">
      <c r="A650">
        <v>24271</v>
      </c>
      <c r="B650" t="s">
        <v>510</v>
      </c>
      <c r="C650" t="s">
        <v>39</v>
      </c>
      <c r="E650" t="s">
        <v>1101</v>
      </c>
      <c r="F650">
        <v>14</v>
      </c>
      <c r="G650">
        <v>1972</v>
      </c>
      <c r="H650">
        <v>511</v>
      </c>
      <c r="I650">
        <v>2.1880000000000002</v>
      </c>
      <c r="J650">
        <v>122.548</v>
      </c>
      <c r="K650">
        <v>37</v>
      </c>
    </row>
    <row r="651" spans="1:11" x14ac:dyDescent="0.25">
      <c r="A651">
        <v>10003</v>
      </c>
      <c r="B651" t="s">
        <v>1621</v>
      </c>
      <c r="C651" t="s">
        <v>67</v>
      </c>
      <c r="E651" t="s">
        <v>1480</v>
      </c>
      <c r="F651">
        <v>65</v>
      </c>
      <c r="G651">
        <v>1946</v>
      </c>
      <c r="H651">
        <v>823</v>
      </c>
      <c r="I651">
        <v>0</v>
      </c>
      <c r="J651">
        <v>0</v>
      </c>
      <c r="K651">
        <v>0</v>
      </c>
    </row>
    <row r="652" spans="1:11" x14ac:dyDescent="0.25">
      <c r="A652">
        <v>96121</v>
      </c>
      <c r="B652" t="s">
        <v>512</v>
      </c>
      <c r="C652" t="s">
        <v>16</v>
      </c>
      <c r="E652" t="s">
        <v>1131</v>
      </c>
      <c r="F652">
        <v>7</v>
      </c>
      <c r="G652">
        <v>1972</v>
      </c>
      <c r="H652">
        <v>656</v>
      </c>
      <c r="I652">
        <v>0.81299999999999994</v>
      </c>
      <c r="J652">
        <v>18.507999999999999</v>
      </c>
      <c r="K652">
        <v>0</v>
      </c>
    </row>
    <row r="653" spans="1:11" x14ac:dyDescent="0.25">
      <c r="A653">
        <v>14025</v>
      </c>
      <c r="B653" t="s">
        <v>1622</v>
      </c>
      <c r="C653" t="s">
        <v>46</v>
      </c>
      <c r="E653" t="s">
        <v>58</v>
      </c>
      <c r="F653">
        <v>73</v>
      </c>
      <c r="G653">
        <v>1951</v>
      </c>
      <c r="H653">
        <v>461</v>
      </c>
      <c r="I653">
        <v>3.5790000000000002</v>
      </c>
      <c r="J653">
        <v>193.56399999999999</v>
      </c>
      <c r="K653">
        <v>40</v>
      </c>
    </row>
    <row r="654" spans="1:11" x14ac:dyDescent="0.25">
      <c r="A654">
        <v>15007</v>
      </c>
      <c r="B654" t="s">
        <v>1623</v>
      </c>
      <c r="C654" t="s">
        <v>20</v>
      </c>
      <c r="D654" t="s">
        <v>1053</v>
      </c>
      <c r="E654" t="s">
        <v>1187</v>
      </c>
      <c r="F654">
        <v>15</v>
      </c>
      <c r="G654">
        <v>1997</v>
      </c>
      <c r="H654">
        <v>49</v>
      </c>
      <c r="I654">
        <v>31</v>
      </c>
      <c r="J654">
        <v>2619.1990000000001</v>
      </c>
      <c r="K654">
        <v>1341</v>
      </c>
    </row>
    <row r="655" spans="1:11" x14ac:dyDescent="0.25">
      <c r="A655">
        <v>16087</v>
      </c>
      <c r="B655" t="s">
        <v>1624</v>
      </c>
      <c r="C655" t="s">
        <v>105</v>
      </c>
      <c r="E655" t="s">
        <v>1441</v>
      </c>
      <c r="F655">
        <v>84</v>
      </c>
      <c r="G655">
        <v>1941</v>
      </c>
      <c r="H655">
        <v>824</v>
      </c>
      <c r="I655">
        <v>0</v>
      </c>
      <c r="J655">
        <v>0</v>
      </c>
      <c r="K655">
        <v>0</v>
      </c>
    </row>
    <row r="656" spans="1:11" x14ac:dyDescent="0.25">
      <c r="A656">
        <v>16088</v>
      </c>
      <c r="B656" t="s">
        <v>513</v>
      </c>
      <c r="C656" t="s">
        <v>1625</v>
      </c>
      <c r="D656" t="s">
        <v>1053</v>
      </c>
      <c r="E656" t="s">
        <v>1441</v>
      </c>
      <c r="F656">
        <v>84</v>
      </c>
      <c r="G656">
        <v>1952</v>
      </c>
      <c r="H656">
        <v>583</v>
      </c>
      <c r="I656">
        <v>0.71099999999999997</v>
      </c>
      <c r="J656">
        <v>54.503</v>
      </c>
      <c r="K656">
        <v>20</v>
      </c>
    </row>
    <row r="657" spans="1:11" x14ac:dyDescent="0.25">
      <c r="A657">
        <v>13031</v>
      </c>
      <c r="B657" t="s">
        <v>1198</v>
      </c>
      <c r="C657" t="s">
        <v>474</v>
      </c>
      <c r="E657" t="s">
        <v>1169</v>
      </c>
      <c r="F657">
        <v>76</v>
      </c>
      <c r="G657">
        <v>1947</v>
      </c>
      <c r="H657">
        <v>569</v>
      </c>
      <c r="I657">
        <v>0.60899999999999999</v>
      </c>
      <c r="J657">
        <v>60.25</v>
      </c>
      <c r="K657">
        <v>30</v>
      </c>
    </row>
    <row r="658" spans="1:11" x14ac:dyDescent="0.25">
      <c r="A658">
        <v>13032</v>
      </c>
      <c r="B658" t="s">
        <v>1199</v>
      </c>
      <c r="C658" t="s">
        <v>478</v>
      </c>
      <c r="D658" t="s">
        <v>1053</v>
      </c>
      <c r="E658" t="s">
        <v>1169</v>
      </c>
      <c r="F658">
        <v>76</v>
      </c>
      <c r="G658">
        <v>1961</v>
      </c>
      <c r="H658">
        <v>570</v>
      </c>
      <c r="I658">
        <v>0.60899999999999999</v>
      </c>
      <c r="J658">
        <v>60.25</v>
      </c>
      <c r="K658">
        <v>30</v>
      </c>
    </row>
    <row r="659" spans="1:11" x14ac:dyDescent="0.25">
      <c r="A659">
        <v>97242</v>
      </c>
      <c r="B659" t="s">
        <v>515</v>
      </c>
      <c r="C659" t="s">
        <v>73</v>
      </c>
      <c r="E659" t="s">
        <v>1164</v>
      </c>
      <c r="F659">
        <v>2</v>
      </c>
      <c r="G659">
        <v>1951</v>
      </c>
      <c r="H659">
        <v>488</v>
      </c>
      <c r="I659">
        <v>4.8440000000000003</v>
      </c>
      <c r="J659">
        <v>149.691</v>
      </c>
      <c r="K659">
        <v>51</v>
      </c>
    </row>
    <row r="660" spans="1:11" x14ac:dyDescent="0.25">
      <c r="A660">
        <v>98305</v>
      </c>
      <c r="B660" t="s">
        <v>516</v>
      </c>
      <c r="C660" t="s">
        <v>517</v>
      </c>
      <c r="D660" t="s">
        <v>1053</v>
      </c>
      <c r="E660" t="s">
        <v>1164</v>
      </c>
      <c r="F660">
        <v>2</v>
      </c>
      <c r="G660">
        <v>1951</v>
      </c>
      <c r="H660">
        <v>825</v>
      </c>
      <c r="I660">
        <v>0</v>
      </c>
      <c r="J660">
        <v>0</v>
      </c>
      <c r="K660">
        <v>0</v>
      </c>
    </row>
    <row r="661" spans="1:11" x14ac:dyDescent="0.25">
      <c r="A661">
        <v>23084</v>
      </c>
      <c r="B661" t="s">
        <v>518</v>
      </c>
      <c r="C661" t="s">
        <v>306</v>
      </c>
      <c r="E661" t="s">
        <v>1164</v>
      </c>
      <c r="F661">
        <v>2</v>
      </c>
      <c r="G661">
        <v>1952</v>
      </c>
      <c r="H661">
        <v>406</v>
      </c>
      <c r="I661">
        <v>4.25</v>
      </c>
      <c r="J661">
        <v>266.47300000000001</v>
      </c>
      <c r="K661">
        <v>80</v>
      </c>
    </row>
    <row r="662" spans="1:11" x14ac:dyDescent="0.25">
      <c r="A662">
        <v>10129</v>
      </c>
      <c r="B662" t="s">
        <v>519</v>
      </c>
      <c r="C662" t="s">
        <v>143</v>
      </c>
      <c r="D662" t="s">
        <v>1053</v>
      </c>
      <c r="E662" t="s">
        <v>1123</v>
      </c>
      <c r="F662">
        <v>27</v>
      </c>
      <c r="G662">
        <v>1950</v>
      </c>
      <c r="H662">
        <v>281</v>
      </c>
      <c r="I662">
        <v>7.5010000000000003</v>
      </c>
      <c r="J662">
        <v>591.94200000000001</v>
      </c>
      <c r="K662">
        <v>255</v>
      </c>
    </row>
    <row r="663" spans="1:11" x14ac:dyDescent="0.25">
      <c r="A663">
        <v>27086</v>
      </c>
      <c r="B663" t="s">
        <v>520</v>
      </c>
      <c r="C663" t="s">
        <v>67</v>
      </c>
      <c r="E663" t="s">
        <v>680</v>
      </c>
      <c r="F663">
        <v>19</v>
      </c>
      <c r="G663">
        <v>1947</v>
      </c>
      <c r="H663">
        <v>407</v>
      </c>
      <c r="I663">
        <v>3.4689999999999999</v>
      </c>
      <c r="J663">
        <v>264.02999999999997</v>
      </c>
      <c r="K663">
        <v>113</v>
      </c>
    </row>
    <row r="664" spans="1:11" x14ac:dyDescent="0.25">
      <c r="A664">
        <v>20724</v>
      </c>
      <c r="B664" t="s">
        <v>520</v>
      </c>
      <c r="C664" t="s">
        <v>73</v>
      </c>
      <c r="E664" t="s">
        <v>680</v>
      </c>
      <c r="F664">
        <v>19</v>
      </c>
      <c r="G664">
        <v>1956</v>
      </c>
      <c r="H664">
        <v>473</v>
      </c>
      <c r="I664">
        <v>2.5630000000000002</v>
      </c>
      <c r="J664">
        <v>173.06800000000001</v>
      </c>
      <c r="K664">
        <v>65</v>
      </c>
    </row>
    <row r="665" spans="1:11" x14ac:dyDescent="0.25">
      <c r="A665">
        <v>27075</v>
      </c>
      <c r="B665" t="s">
        <v>521</v>
      </c>
      <c r="C665" t="s">
        <v>39</v>
      </c>
      <c r="E665" t="s">
        <v>1163</v>
      </c>
      <c r="F665">
        <v>61</v>
      </c>
      <c r="G665">
        <v>1982</v>
      </c>
      <c r="H665">
        <v>826</v>
      </c>
      <c r="I665">
        <v>0</v>
      </c>
      <c r="J665">
        <v>0</v>
      </c>
      <c r="K665">
        <v>0</v>
      </c>
    </row>
    <row r="666" spans="1:11" x14ac:dyDescent="0.25">
      <c r="A666">
        <v>98417</v>
      </c>
      <c r="B666" t="s">
        <v>522</v>
      </c>
      <c r="C666" t="s">
        <v>143</v>
      </c>
      <c r="D666" t="s">
        <v>1053</v>
      </c>
      <c r="E666" t="s">
        <v>1142</v>
      </c>
      <c r="F666">
        <v>64</v>
      </c>
      <c r="G666">
        <v>1953</v>
      </c>
      <c r="H666">
        <v>827</v>
      </c>
      <c r="I666">
        <v>0</v>
      </c>
      <c r="J666">
        <v>0</v>
      </c>
      <c r="K666">
        <v>0</v>
      </c>
    </row>
    <row r="667" spans="1:11" x14ac:dyDescent="0.25">
      <c r="A667">
        <v>13046</v>
      </c>
      <c r="B667" t="s">
        <v>1277</v>
      </c>
      <c r="C667" t="s">
        <v>228</v>
      </c>
      <c r="E667" t="s">
        <v>1116</v>
      </c>
      <c r="F667">
        <v>20</v>
      </c>
      <c r="G667">
        <v>1941</v>
      </c>
      <c r="H667">
        <v>308</v>
      </c>
      <c r="I667">
        <v>8.532</v>
      </c>
      <c r="J667">
        <v>518.72199999999998</v>
      </c>
      <c r="K667">
        <v>155</v>
      </c>
    </row>
    <row r="668" spans="1:11" x14ac:dyDescent="0.25">
      <c r="A668">
        <v>11057</v>
      </c>
      <c r="B668" t="s">
        <v>523</v>
      </c>
      <c r="C668" t="s">
        <v>524</v>
      </c>
      <c r="E668" t="s">
        <v>1162</v>
      </c>
      <c r="F668">
        <v>51</v>
      </c>
      <c r="G668">
        <v>1968</v>
      </c>
      <c r="H668">
        <v>828</v>
      </c>
      <c r="I668">
        <v>0</v>
      </c>
      <c r="J668">
        <v>0</v>
      </c>
      <c r="K668">
        <v>0</v>
      </c>
    </row>
    <row r="669" spans="1:11" x14ac:dyDescent="0.25">
      <c r="A669">
        <v>14041</v>
      </c>
      <c r="B669" t="s">
        <v>1626</v>
      </c>
      <c r="C669" t="s">
        <v>46</v>
      </c>
      <c r="E669" t="s">
        <v>1399</v>
      </c>
      <c r="F669">
        <v>78</v>
      </c>
      <c r="G669">
        <v>1961</v>
      </c>
      <c r="H669">
        <v>300</v>
      </c>
      <c r="I669">
        <v>4.0940000000000003</v>
      </c>
      <c r="J669">
        <v>533.82399999999996</v>
      </c>
      <c r="K669">
        <v>336</v>
      </c>
    </row>
    <row r="670" spans="1:11" x14ac:dyDescent="0.25">
      <c r="A670">
        <v>16091</v>
      </c>
      <c r="B670" t="s">
        <v>1627</v>
      </c>
      <c r="C670" t="s">
        <v>49</v>
      </c>
      <c r="D670" t="s">
        <v>1053</v>
      </c>
      <c r="E670" t="s">
        <v>1441</v>
      </c>
      <c r="F670">
        <v>84</v>
      </c>
      <c r="G670">
        <v>1939</v>
      </c>
      <c r="H670">
        <v>829</v>
      </c>
      <c r="I670">
        <v>0</v>
      </c>
      <c r="J670">
        <v>0</v>
      </c>
      <c r="K670">
        <v>0</v>
      </c>
    </row>
    <row r="671" spans="1:11" x14ac:dyDescent="0.25">
      <c r="A671">
        <v>16092</v>
      </c>
      <c r="B671" t="s">
        <v>1628</v>
      </c>
      <c r="C671" t="s">
        <v>67</v>
      </c>
      <c r="E671" t="s">
        <v>1441</v>
      </c>
      <c r="F671">
        <v>84</v>
      </c>
      <c r="G671">
        <v>1935</v>
      </c>
      <c r="H671">
        <v>584</v>
      </c>
      <c r="I671">
        <v>0.71099999999999997</v>
      </c>
      <c r="J671">
        <v>54.503</v>
      </c>
      <c r="K671">
        <v>20</v>
      </c>
    </row>
    <row r="672" spans="1:11" x14ac:dyDescent="0.25">
      <c r="A672">
        <v>12084</v>
      </c>
      <c r="B672" t="s">
        <v>1200</v>
      </c>
      <c r="C672" t="s">
        <v>511</v>
      </c>
      <c r="E672" t="s">
        <v>1138</v>
      </c>
      <c r="F672">
        <v>21</v>
      </c>
      <c r="G672">
        <v>1963</v>
      </c>
      <c r="H672">
        <v>830</v>
      </c>
      <c r="I672">
        <v>0</v>
      </c>
      <c r="J672">
        <v>0</v>
      </c>
      <c r="K672">
        <v>0</v>
      </c>
    </row>
    <row r="673" spans="1:11" x14ac:dyDescent="0.25">
      <c r="A673">
        <v>12011</v>
      </c>
      <c r="B673" t="s">
        <v>525</v>
      </c>
      <c r="C673" t="s">
        <v>15</v>
      </c>
      <c r="E673" t="s">
        <v>1103</v>
      </c>
      <c r="F673">
        <v>48</v>
      </c>
      <c r="G673">
        <v>1985</v>
      </c>
      <c r="H673">
        <v>242</v>
      </c>
      <c r="I673">
        <v>6.891</v>
      </c>
      <c r="J673">
        <v>754.66099999999994</v>
      </c>
      <c r="K673">
        <v>422</v>
      </c>
    </row>
    <row r="674" spans="1:11" x14ac:dyDescent="0.25">
      <c r="A674">
        <v>96041</v>
      </c>
      <c r="B674" t="s">
        <v>526</v>
      </c>
      <c r="C674" t="s">
        <v>49</v>
      </c>
      <c r="D674" t="s">
        <v>1053</v>
      </c>
      <c r="E674" t="s">
        <v>1147</v>
      </c>
      <c r="F674">
        <v>1</v>
      </c>
      <c r="G674">
        <v>1955</v>
      </c>
      <c r="H674">
        <v>831</v>
      </c>
      <c r="I674">
        <v>0</v>
      </c>
      <c r="J674">
        <v>0</v>
      </c>
      <c r="K674">
        <v>0</v>
      </c>
    </row>
    <row r="675" spans="1:11" x14ac:dyDescent="0.25">
      <c r="A675">
        <v>14061</v>
      </c>
      <c r="B675" t="s">
        <v>1629</v>
      </c>
      <c r="C675" t="s">
        <v>32</v>
      </c>
      <c r="E675" t="s">
        <v>58</v>
      </c>
      <c r="F675">
        <v>73</v>
      </c>
      <c r="G675">
        <v>1951</v>
      </c>
      <c r="H675">
        <v>517</v>
      </c>
      <c r="I675">
        <v>2.1720000000000002</v>
      </c>
      <c r="J675">
        <v>112.67</v>
      </c>
      <c r="K675">
        <v>23</v>
      </c>
    </row>
    <row r="676" spans="1:11" x14ac:dyDescent="0.25">
      <c r="A676">
        <v>10040</v>
      </c>
      <c r="B676" t="s">
        <v>527</v>
      </c>
      <c r="C676" t="s">
        <v>34</v>
      </c>
      <c r="E676" t="s">
        <v>168</v>
      </c>
      <c r="F676">
        <v>68</v>
      </c>
      <c r="G676">
        <v>1976</v>
      </c>
      <c r="H676">
        <v>318</v>
      </c>
      <c r="I676">
        <v>8.9220000000000006</v>
      </c>
      <c r="J676">
        <v>492.209</v>
      </c>
      <c r="K676">
        <v>96</v>
      </c>
    </row>
    <row r="677" spans="1:11" x14ac:dyDescent="0.25">
      <c r="A677">
        <v>15084</v>
      </c>
      <c r="B677" t="s">
        <v>1630</v>
      </c>
      <c r="C677" t="s">
        <v>72</v>
      </c>
      <c r="E677" t="s">
        <v>1164</v>
      </c>
      <c r="F677">
        <v>2</v>
      </c>
      <c r="G677">
        <v>1965</v>
      </c>
      <c r="H677">
        <v>362</v>
      </c>
      <c r="I677">
        <v>6.0309999999999997</v>
      </c>
      <c r="J677">
        <v>384.851</v>
      </c>
      <c r="K677">
        <v>177</v>
      </c>
    </row>
    <row r="678" spans="1:11" x14ac:dyDescent="0.25">
      <c r="A678">
        <v>11040</v>
      </c>
      <c r="B678" t="s">
        <v>528</v>
      </c>
      <c r="C678" t="s">
        <v>529</v>
      </c>
      <c r="D678" t="s">
        <v>1048</v>
      </c>
      <c r="E678" t="s">
        <v>1147</v>
      </c>
      <c r="F678">
        <v>1</v>
      </c>
      <c r="G678">
        <v>2002</v>
      </c>
      <c r="H678">
        <v>832</v>
      </c>
      <c r="I678">
        <v>0</v>
      </c>
      <c r="J678">
        <v>0</v>
      </c>
      <c r="K678">
        <v>0</v>
      </c>
    </row>
    <row r="679" spans="1:11" x14ac:dyDescent="0.25">
      <c r="A679">
        <v>16109</v>
      </c>
      <c r="B679" t="s">
        <v>1739</v>
      </c>
      <c r="C679" t="s">
        <v>1565</v>
      </c>
      <c r="D679" t="s">
        <v>1053</v>
      </c>
      <c r="E679" t="s">
        <v>1169</v>
      </c>
      <c r="F679">
        <v>76</v>
      </c>
      <c r="G679">
        <v>1949</v>
      </c>
      <c r="H679">
        <v>358</v>
      </c>
      <c r="I679">
        <v>4.68</v>
      </c>
      <c r="J679">
        <v>389.85599999999999</v>
      </c>
      <c r="K679">
        <v>197</v>
      </c>
    </row>
    <row r="680" spans="1:11" x14ac:dyDescent="0.25">
      <c r="A680">
        <v>14098</v>
      </c>
      <c r="B680" t="s">
        <v>1631</v>
      </c>
      <c r="C680" t="s">
        <v>54</v>
      </c>
      <c r="E680" t="s">
        <v>1095</v>
      </c>
      <c r="F680">
        <v>52</v>
      </c>
      <c r="G680">
        <v>1980</v>
      </c>
      <c r="H680">
        <v>189</v>
      </c>
      <c r="I680">
        <v>17.939</v>
      </c>
      <c r="J680">
        <v>1140.2070000000001</v>
      </c>
      <c r="K680">
        <v>399</v>
      </c>
    </row>
    <row r="681" spans="1:11" x14ac:dyDescent="0.25">
      <c r="A681">
        <v>13039</v>
      </c>
      <c r="B681" t="s">
        <v>1201</v>
      </c>
      <c r="C681" t="s">
        <v>33</v>
      </c>
      <c r="E681" t="s">
        <v>1103</v>
      </c>
      <c r="F681">
        <v>48</v>
      </c>
      <c r="G681">
        <v>1948</v>
      </c>
      <c r="H681">
        <v>415</v>
      </c>
      <c r="I681">
        <v>4.907</v>
      </c>
      <c r="J681">
        <v>258.05399999999997</v>
      </c>
      <c r="K681">
        <v>44</v>
      </c>
    </row>
    <row r="682" spans="1:11" x14ac:dyDescent="0.25">
      <c r="A682">
        <v>15009</v>
      </c>
      <c r="B682" t="s">
        <v>1632</v>
      </c>
      <c r="C682" t="s">
        <v>24</v>
      </c>
      <c r="E682" t="s">
        <v>1187</v>
      </c>
      <c r="F682">
        <v>15</v>
      </c>
      <c r="G682">
        <v>1995</v>
      </c>
      <c r="H682">
        <v>125</v>
      </c>
      <c r="I682">
        <v>20.126000000000001</v>
      </c>
      <c r="J682">
        <v>1691.8</v>
      </c>
      <c r="K682">
        <v>877</v>
      </c>
    </row>
    <row r="683" spans="1:11" x14ac:dyDescent="0.25">
      <c r="A683">
        <v>15008</v>
      </c>
      <c r="B683" t="s">
        <v>1632</v>
      </c>
      <c r="C683" t="s">
        <v>328</v>
      </c>
      <c r="E683" t="s">
        <v>1187</v>
      </c>
      <c r="F683">
        <v>15</v>
      </c>
      <c r="G683">
        <v>1995</v>
      </c>
      <c r="H683">
        <v>26</v>
      </c>
      <c r="I683">
        <v>37.813000000000002</v>
      </c>
      <c r="J683">
        <v>3160.0369999999998</v>
      </c>
      <c r="K683">
        <v>1629</v>
      </c>
    </row>
    <row r="684" spans="1:11" x14ac:dyDescent="0.25">
      <c r="A684">
        <v>16093</v>
      </c>
      <c r="B684" t="s">
        <v>1633</v>
      </c>
      <c r="C684" t="s">
        <v>160</v>
      </c>
      <c r="E684" t="s">
        <v>1441</v>
      </c>
      <c r="F684">
        <v>84</v>
      </c>
      <c r="G684">
        <v>1945</v>
      </c>
      <c r="H684">
        <v>833</v>
      </c>
      <c r="I684">
        <v>0</v>
      </c>
      <c r="J684">
        <v>0</v>
      </c>
      <c r="K684">
        <v>0</v>
      </c>
    </row>
    <row r="685" spans="1:11" x14ac:dyDescent="0.25">
      <c r="A685">
        <v>26023</v>
      </c>
      <c r="B685" t="s">
        <v>530</v>
      </c>
      <c r="C685" t="s">
        <v>67</v>
      </c>
      <c r="E685" t="s">
        <v>1182</v>
      </c>
      <c r="F685">
        <v>56</v>
      </c>
      <c r="G685">
        <v>1956</v>
      </c>
      <c r="H685">
        <v>646</v>
      </c>
      <c r="I685">
        <v>0.875</v>
      </c>
      <c r="J685">
        <v>27.437999999999999</v>
      </c>
      <c r="K685">
        <v>0</v>
      </c>
    </row>
    <row r="686" spans="1:11" x14ac:dyDescent="0.25">
      <c r="A686">
        <v>15081</v>
      </c>
      <c r="B686" t="s">
        <v>1203</v>
      </c>
      <c r="C686" t="s">
        <v>22</v>
      </c>
      <c r="E686" t="s">
        <v>1164</v>
      </c>
      <c r="F686">
        <v>2</v>
      </c>
      <c r="G686">
        <v>1992</v>
      </c>
      <c r="H686">
        <v>350</v>
      </c>
      <c r="I686">
        <v>6.625</v>
      </c>
      <c r="J686">
        <v>404.43299999999999</v>
      </c>
      <c r="K686">
        <v>177</v>
      </c>
    </row>
    <row r="687" spans="1:11" x14ac:dyDescent="0.25">
      <c r="A687">
        <v>12079</v>
      </c>
      <c r="B687" t="s">
        <v>1204</v>
      </c>
      <c r="C687" t="s">
        <v>105</v>
      </c>
      <c r="E687" t="s">
        <v>58</v>
      </c>
      <c r="F687">
        <v>73</v>
      </c>
      <c r="G687">
        <v>1940</v>
      </c>
      <c r="H687">
        <v>214</v>
      </c>
      <c r="I687">
        <v>12.5</v>
      </c>
      <c r="J687">
        <v>950.73099999999999</v>
      </c>
      <c r="K687">
        <v>392</v>
      </c>
    </row>
    <row r="688" spans="1:11" x14ac:dyDescent="0.25">
      <c r="A688">
        <v>26001</v>
      </c>
      <c r="B688" t="s">
        <v>531</v>
      </c>
      <c r="C688" t="s">
        <v>171</v>
      </c>
      <c r="D688" t="s">
        <v>1053</v>
      </c>
      <c r="E688" t="s">
        <v>678</v>
      </c>
      <c r="F688">
        <v>17</v>
      </c>
      <c r="G688">
        <v>1997</v>
      </c>
      <c r="H688">
        <v>191</v>
      </c>
      <c r="I688">
        <v>11.518000000000001</v>
      </c>
      <c r="J688">
        <v>1126.442</v>
      </c>
      <c r="K688">
        <v>621</v>
      </c>
    </row>
    <row r="689" spans="1:11" x14ac:dyDescent="0.25">
      <c r="A689">
        <v>14048</v>
      </c>
      <c r="B689" t="s">
        <v>1634</v>
      </c>
      <c r="C689" t="s">
        <v>80</v>
      </c>
      <c r="E689" t="s">
        <v>1169</v>
      </c>
      <c r="F689">
        <v>76</v>
      </c>
      <c r="G689">
        <v>1942</v>
      </c>
      <c r="H689">
        <v>374</v>
      </c>
      <c r="I689">
        <v>4.1879999999999997</v>
      </c>
      <c r="J689">
        <v>334.53199999999998</v>
      </c>
      <c r="K689">
        <v>139</v>
      </c>
    </row>
    <row r="690" spans="1:11" x14ac:dyDescent="0.25">
      <c r="A690">
        <v>12022</v>
      </c>
      <c r="B690" t="s">
        <v>532</v>
      </c>
      <c r="C690" t="s">
        <v>324</v>
      </c>
      <c r="D690" t="s">
        <v>1053</v>
      </c>
      <c r="E690" t="s">
        <v>1172</v>
      </c>
      <c r="F690">
        <v>24</v>
      </c>
      <c r="G690">
        <v>1986</v>
      </c>
      <c r="H690">
        <v>13</v>
      </c>
      <c r="I690">
        <v>40.313000000000002</v>
      </c>
      <c r="J690">
        <v>3491.1060000000002</v>
      </c>
      <c r="K690">
        <v>1624</v>
      </c>
    </row>
    <row r="691" spans="1:11" x14ac:dyDescent="0.25">
      <c r="A691">
        <v>13041</v>
      </c>
      <c r="B691" t="s">
        <v>1205</v>
      </c>
      <c r="C691" t="s">
        <v>18</v>
      </c>
      <c r="D691" t="s">
        <v>1053</v>
      </c>
      <c r="E691" t="s">
        <v>1147</v>
      </c>
      <c r="F691">
        <v>1</v>
      </c>
      <c r="G691">
        <v>1959</v>
      </c>
      <c r="H691">
        <v>467</v>
      </c>
      <c r="I691">
        <v>5.0940000000000003</v>
      </c>
      <c r="J691">
        <v>189.32400000000001</v>
      </c>
      <c r="K691">
        <v>17</v>
      </c>
    </row>
    <row r="692" spans="1:11" x14ac:dyDescent="0.25">
      <c r="A692">
        <v>15069</v>
      </c>
      <c r="B692" t="s">
        <v>1635</v>
      </c>
      <c r="C692" t="s">
        <v>80</v>
      </c>
      <c r="E692" t="s">
        <v>1169</v>
      </c>
      <c r="F692">
        <v>76</v>
      </c>
      <c r="G692">
        <v>1983</v>
      </c>
      <c r="H692">
        <v>304</v>
      </c>
      <c r="I692">
        <v>6.4370000000000003</v>
      </c>
      <c r="J692">
        <v>526.38400000000001</v>
      </c>
      <c r="K692">
        <v>226</v>
      </c>
    </row>
    <row r="693" spans="1:11" x14ac:dyDescent="0.25">
      <c r="A693">
        <v>16111</v>
      </c>
      <c r="B693" t="s">
        <v>533</v>
      </c>
      <c r="C693" t="s">
        <v>72</v>
      </c>
      <c r="E693" t="s">
        <v>1176</v>
      </c>
      <c r="F693">
        <v>42</v>
      </c>
      <c r="G693">
        <v>1964</v>
      </c>
      <c r="H693">
        <v>540</v>
      </c>
      <c r="I693">
        <v>1</v>
      </c>
      <c r="J693">
        <v>83.912000000000006</v>
      </c>
      <c r="K693">
        <v>43</v>
      </c>
    </row>
    <row r="694" spans="1:11" x14ac:dyDescent="0.25">
      <c r="A694">
        <v>97236</v>
      </c>
      <c r="B694" t="s">
        <v>533</v>
      </c>
      <c r="C694" t="s">
        <v>534</v>
      </c>
      <c r="E694" t="s">
        <v>1138</v>
      </c>
      <c r="F694">
        <v>21</v>
      </c>
      <c r="G694">
        <v>1978</v>
      </c>
      <c r="H694">
        <v>549</v>
      </c>
      <c r="I694">
        <v>2</v>
      </c>
      <c r="J694">
        <v>75.141999999999996</v>
      </c>
      <c r="K694">
        <v>0</v>
      </c>
    </row>
    <row r="695" spans="1:11" x14ac:dyDescent="0.25">
      <c r="A695">
        <v>96050</v>
      </c>
      <c r="B695" t="s">
        <v>533</v>
      </c>
      <c r="C695" t="s">
        <v>535</v>
      </c>
      <c r="E695" t="s">
        <v>1138</v>
      </c>
      <c r="F695">
        <v>21</v>
      </c>
      <c r="G695">
        <v>1928</v>
      </c>
      <c r="H695">
        <v>834</v>
      </c>
      <c r="I695">
        <v>0</v>
      </c>
      <c r="J695">
        <v>0</v>
      </c>
      <c r="K695">
        <v>0</v>
      </c>
    </row>
    <row r="696" spans="1:11" x14ac:dyDescent="0.25">
      <c r="A696">
        <v>96051</v>
      </c>
      <c r="B696" t="s">
        <v>533</v>
      </c>
      <c r="C696" t="s">
        <v>536</v>
      </c>
      <c r="E696" t="s">
        <v>1138</v>
      </c>
      <c r="F696">
        <v>21</v>
      </c>
      <c r="G696">
        <v>1965</v>
      </c>
      <c r="H696">
        <v>835</v>
      </c>
      <c r="I696">
        <v>0</v>
      </c>
      <c r="J696">
        <v>0</v>
      </c>
      <c r="K696">
        <v>0</v>
      </c>
    </row>
    <row r="697" spans="1:11" x14ac:dyDescent="0.25">
      <c r="A697">
        <v>16113</v>
      </c>
      <c r="B697" t="s">
        <v>1740</v>
      </c>
      <c r="C697" t="s">
        <v>42</v>
      </c>
      <c r="D697" t="s">
        <v>139</v>
      </c>
      <c r="E697" t="s">
        <v>1176</v>
      </c>
      <c r="F697">
        <v>42</v>
      </c>
      <c r="G697">
        <v>2000</v>
      </c>
      <c r="H697">
        <v>836</v>
      </c>
      <c r="I697">
        <v>0</v>
      </c>
      <c r="J697">
        <v>0</v>
      </c>
      <c r="K697">
        <v>0</v>
      </c>
    </row>
    <row r="698" spans="1:11" x14ac:dyDescent="0.25">
      <c r="A698">
        <v>16094</v>
      </c>
      <c r="B698" t="s">
        <v>1636</v>
      </c>
      <c r="C698" t="s">
        <v>46</v>
      </c>
      <c r="E698" t="s">
        <v>1441</v>
      </c>
      <c r="F698">
        <v>84</v>
      </c>
      <c r="G698">
        <v>1937</v>
      </c>
      <c r="H698">
        <v>587</v>
      </c>
      <c r="I698">
        <v>0.313</v>
      </c>
      <c r="J698">
        <v>54.188000000000002</v>
      </c>
      <c r="K698">
        <v>37</v>
      </c>
    </row>
    <row r="699" spans="1:11" x14ac:dyDescent="0.25">
      <c r="A699">
        <v>15036</v>
      </c>
      <c r="B699" t="s">
        <v>1637</v>
      </c>
      <c r="C699" t="s">
        <v>346</v>
      </c>
      <c r="D699" t="s">
        <v>1053</v>
      </c>
      <c r="E699" t="s">
        <v>1447</v>
      </c>
      <c r="F699">
        <v>6</v>
      </c>
      <c r="G699">
        <v>1975</v>
      </c>
      <c r="H699">
        <v>557</v>
      </c>
      <c r="I699">
        <v>0.75</v>
      </c>
      <c r="J699">
        <v>71.372</v>
      </c>
      <c r="K699">
        <v>38</v>
      </c>
    </row>
    <row r="700" spans="1:11" x14ac:dyDescent="0.25">
      <c r="A700">
        <v>12049</v>
      </c>
      <c r="B700" t="s">
        <v>537</v>
      </c>
      <c r="C700" t="s">
        <v>39</v>
      </c>
      <c r="E700" t="s">
        <v>1101</v>
      </c>
      <c r="F700">
        <v>14</v>
      </c>
      <c r="G700">
        <v>1982</v>
      </c>
      <c r="H700">
        <v>172</v>
      </c>
      <c r="I700">
        <v>24.280999999999999</v>
      </c>
      <c r="J700">
        <v>1288.972</v>
      </c>
      <c r="K700">
        <v>311</v>
      </c>
    </row>
    <row r="701" spans="1:11" x14ac:dyDescent="0.25">
      <c r="A701">
        <v>16116</v>
      </c>
      <c r="B701" t="s">
        <v>1638</v>
      </c>
      <c r="C701" t="s">
        <v>111</v>
      </c>
      <c r="D701" t="s">
        <v>1048</v>
      </c>
      <c r="E701" t="s">
        <v>1480</v>
      </c>
      <c r="F701">
        <v>65</v>
      </c>
      <c r="G701">
        <v>2001</v>
      </c>
      <c r="H701">
        <v>622</v>
      </c>
      <c r="I701">
        <v>1</v>
      </c>
      <c r="J701">
        <v>36.851999999999997</v>
      </c>
      <c r="K701">
        <v>0</v>
      </c>
    </row>
    <row r="702" spans="1:11" x14ac:dyDescent="0.25">
      <c r="A702">
        <v>16115</v>
      </c>
      <c r="B702" t="s">
        <v>1638</v>
      </c>
      <c r="C702" t="s">
        <v>96</v>
      </c>
      <c r="E702" t="s">
        <v>1480</v>
      </c>
      <c r="F702">
        <v>65</v>
      </c>
      <c r="G702">
        <v>1978</v>
      </c>
      <c r="H702">
        <v>838</v>
      </c>
      <c r="I702">
        <v>0</v>
      </c>
      <c r="J702">
        <v>0</v>
      </c>
      <c r="K702">
        <v>0</v>
      </c>
    </row>
    <row r="703" spans="1:11" x14ac:dyDescent="0.25">
      <c r="A703">
        <v>16007</v>
      </c>
      <c r="B703" t="s">
        <v>1638</v>
      </c>
      <c r="C703" t="s">
        <v>246</v>
      </c>
      <c r="D703" t="s">
        <v>1048</v>
      </c>
      <c r="E703" t="s">
        <v>1169</v>
      </c>
      <c r="F703">
        <v>76</v>
      </c>
      <c r="G703">
        <v>2007</v>
      </c>
      <c r="H703">
        <v>837</v>
      </c>
      <c r="I703">
        <v>0</v>
      </c>
      <c r="J703">
        <v>0</v>
      </c>
      <c r="K703">
        <v>0</v>
      </c>
    </row>
    <row r="704" spans="1:11" x14ac:dyDescent="0.25">
      <c r="A704">
        <v>16006</v>
      </c>
      <c r="B704" t="s">
        <v>1639</v>
      </c>
      <c r="C704" t="s">
        <v>204</v>
      </c>
      <c r="D704" t="s">
        <v>1053</v>
      </c>
      <c r="E704" t="s">
        <v>1169</v>
      </c>
      <c r="F704">
        <v>76</v>
      </c>
      <c r="G704">
        <v>1970</v>
      </c>
      <c r="H704">
        <v>352</v>
      </c>
      <c r="I704">
        <v>3.8279999999999998</v>
      </c>
      <c r="J704">
        <v>396.541</v>
      </c>
      <c r="K704">
        <v>226</v>
      </c>
    </row>
    <row r="705" spans="1:11" x14ac:dyDescent="0.25">
      <c r="A705">
        <v>14013</v>
      </c>
      <c r="B705" t="s">
        <v>1640</v>
      </c>
      <c r="C705" t="s">
        <v>112</v>
      </c>
      <c r="D705" t="s">
        <v>1053</v>
      </c>
      <c r="E705" t="s">
        <v>1103</v>
      </c>
      <c r="F705">
        <v>48</v>
      </c>
      <c r="G705">
        <v>1988</v>
      </c>
      <c r="H705">
        <v>839</v>
      </c>
      <c r="I705">
        <v>0</v>
      </c>
      <c r="J705">
        <v>0</v>
      </c>
      <c r="K705">
        <v>0</v>
      </c>
    </row>
    <row r="706" spans="1:11" x14ac:dyDescent="0.25">
      <c r="A706">
        <v>27051</v>
      </c>
      <c r="B706" t="s">
        <v>538</v>
      </c>
      <c r="C706" t="s">
        <v>20</v>
      </c>
      <c r="D706" t="s">
        <v>1053</v>
      </c>
      <c r="E706" t="s">
        <v>1147</v>
      </c>
      <c r="F706">
        <v>1</v>
      </c>
      <c r="G706">
        <v>1953</v>
      </c>
      <c r="H706">
        <v>351</v>
      </c>
      <c r="I706">
        <v>6.032</v>
      </c>
      <c r="J706">
        <v>401.31299999999999</v>
      </c>
      <c r="K706">
        <v>173</v>
      </c>
    </row>
    <row r="707" spans="1:11" x14ac:dyDescent="0.25">
      <c r="A707">
        <v>15055</v>
      </c>
      <c r="B707" t="s">
        <v>539</v>
      </c>
      <c r="C707" t="s">
        <v>12</v>
      </c>
      <c r="D707" t="s">
        <v>1048</v>
      </c>
      <c r="E707" t="s">
        <v>1147</v>
      </c>
      <c r="F707">
        <v>1</v>
      </c>
      <c r="G707">
        <v>2005</v>
      </c>
      <c r="H707">
        <v>507</v>
      </c>
      <c r="I707">
        <v>3.3130000000000002</v>
      </c>
      <c r="J707">
        <v>125.328</v>
      </c>
      <c r="K707">
        <v>0</v>
      </c>
    </row>
    <row r="708" spans="1:11" x14ac:dyDescent="0.25">
      <c r="A708">
        <v>27015</v>
      </c>
      <c r="B708" t="s">
        <v>539</v>
      </c>
      <c r="C708" t="s">
        <v>13</v>
      </c>
      <c r="E708" t="s">
        <v>1147</v>
      </c>
      <c r="F708">
        <v>1</v>
      </c>
      <c r="G708">
        <v>1997</v>
      </c>
      <c r="H708">
        <v>5</v>
      </c>
      <c r="I708">
        <v>54.5</v>
      </c>
      <c r="J708">
        <v>4274.9939999999997</v>
      </c>
      <c r="K708">
        <v>1888</v>
      </c>
    </row>
    <row r="709" spans="1:11" x14ac:dyDescent="0.25">
      <c r="A709">
        <v>28024</v>
      </c>
      <c r="B709" t="s">
        <v>540</v>
      </c>
      <c r="C709" t="s">
        <v>166</v>
      </c>
      <c r="E709" t="s">
        <v>1123</v>
      </c>
      <c r="F709">
        <v>27</v>
      </c>
      <c r="G709">
        <v>1957</v>
      </c>
      <c r="H709">
        <v>270</v>
      </c>
      <c r="I709">
        <v>9.4700000000000006</v>
      </c>
      <c r="J709">
        <v>634.952</v>
      </c>
      <c r="K709">
        <v>271</v>
      </c>
    </row>
    <row r="710" spans="1:11" x14ac:dyDescent="0.25">
      <c r="A710">
        <v>16053</v>
      </c>
      <c r="B710" t="s">
        <v>1641</v>
      </c>
      <c r="C710" t="s">
        <v>54</v>
      </c>
      <c r="E710" t="s">
        <v>1453</v>
      </c>
      <c r="F710">
        <v>82</v>
      </c>
      <c r="G710">
        <v>1967</v>
      </c>
      <c r="H710">
        <v>444</v>
      </c>
      <c r="I710">
        <v>3.032</v>
      </c>
      <c r="J710">
        <v>225.27600000000001</v>
      </c>
      <c r="K710">
        <v>100</v>
      </c>
    </row>
    <row r="711" spans="1:11" x14ac:dyDescent="0.25">
      <c r="A711">
        <v>21919</v>
      </c>
      <c r="B711" t="s">
        <v>541</v>
      </c>
      <c r="C711" t="s">
        <v>147</v>
      </c>
      <c r="E711" t="s">
        <v>706</v>
      </c>
      <c r="F711">
        <v>39</v>
      </c>
      <c r="G711">
        <v>1951</v>
      </c>
      <c r="H711">
        <v>841</v>
      </c>
      <c r="I711">
        <v>0</v>
      </c>
      <c r="J711">
        <v>0</v>
      </c>
      <c r="K711">
        <v>0</v>
      </c>
    </row>
    <row r="712" spans="1:11" x14ac:dyDescent="0.25">
      <c r="A712">
        <v>21918</v>
      </c>
      <c r="B712" t="s">
        <v>541</v>
      </c>
      <c r="C712" t="s">
        <v>72</v>
      </c>
      <c r="E712" t="s">
        <v>706</v>
      </c>
      <c r="F712">
        <v>39</v>
      </c>
      <c r="G712">
        <v>1985</v>
      </c>
      <c r="H712">
        <v>840</v>
      </c>
      <c r="I712">
        <v>0</v>
      </c>
      <c r="J712">
        <v>0</v>
      </c>
      <c r="K712">
        <v>0</v>
      </c>
    </row>
    <row r="713" spans="1:11" x14ac:dyDescent="0.25">
      <c r="A713">
        <v>21920</v>
      </c>
      <c r="B713" t="s">
        <v>541</v>
      </c>
      <c r="C713" t="s">
        <v>24</v>
      </c>
      <c r="E713" t="s">
        <v>706</v>
      </c>
      <c r="F713">
        <v>39</v>
      </c>
      <c r="G713">
        <v>1980</v>
      </c>
      <c r="H713">
        <v>842</v>
      </c>
      <c r="I713">
        <v>0</v>
      </c>
      <c r="J713">
        <v>0</v>
      </c>
      <c r="K713">
        <v>0</v>
      </c>
    </row>
    <row r="714" spans="1:11" x14ac:dyDescent="0.25">
      <c r="A714">
        <v>21921</v>
      </c>
      <c r="B714" t="s">
        <v>542</v>
      </c>
      <c r="C714" t="s">
        <v>543</v>
      </c>
      <c r="D714" t="s">
        <v>1053</v>
      </c>
      <c r="E714" t="s">
        <v>706</v>
      </c>
      <c r="F714">
        <v>39</v>
      </c>
      <c r="G714">
        <v>1954</v>
      </c>
      <c r="H714">
        <v>843</v>
      </c>
      <c r="I714">
        <v>0</v>
      </c>
      <c r="J714">
        <v>0</v>
      </c>
      <c r="K714">
        <v>0</v>
      </c>
    </row>
    <row r="715" spans="1:11" x14ac:dyDescent="0.25">
      <c r="A715">
        <v>96095</v>
      </c>
      <c r="B715" t="s">
        <v>544</v>
      </c>
      <c r="C715" t="s">
        <v>166</v>
      </c>
      <c r="E715" t="s">
        <v>52</v>
      </c>
      <c r="F715">
        <v>16</v>
      </c>
      <c r="G715">
        <v>1968</v>
      </c>
      <c r="H715">
        <v>520</v>
      </c>
      <c r="I715">
        <v>1</v>
      </c>
      <c r="J715">
        <v>106.566</v>
      </c>
      <c r="K715">
        <v>61</v>
      </c>
    </row>
    <row r="716" spans="1:11" x14ac:dyDescent="0.25">
      <c r="A716">
        <v>14055</v>
      </c>
      <c r="B716" t="s">
        <v>544</v>
      </c>
      <c r="C716" t="s">
        <v>54</v>
      </c>
      <c r="E716" t="s">
        <v>168</v>
      </c>
      <c r="F716">
        <v>68</v>
      </c>
      <c r="G716">
        <v>1956</v>
      </c>
      <c r="H716">
        <v>204</v>
      </c>
      <c r="I716">
        <v>12.196</v>
      </c>
      <c r="J716">
        <v>1000.082</v>
      </c>
      <c r="K716">
        <v>447</v>
      </c>
    </row>
    <row r="717" spans="1:11" x14ac:dyDescent="0.25">
      <c r="A717">
        <v>16117</v>
      </c>
      <c r="B717" t="s">
        <v>544</v>
      </c>
      <c r="C717" t="s">
        <v>105</v>
      </c>
      <c r="E717" t="s">
        <v>168</v>
      </c>
      <c r="F717">
        <v>68</v>
      </c>
      <c r="G717">
        <v>1955</v>
      </c>
      <c r="H717">
        <v>414</v>
      </c>
      <c r="I717">
        <v>1.9850000000000001</v>
      </c>
      <c r="J717">
        <v>258.08100000000002</v>
      </c>
      <c r="K717">
        <v>161</v>
      </c>
    </row>
    <row r="718" spans="1:11" x14ac:dyDescent="0.25">
      <c r="A718">
        <v>10092</v>
      </c>
      <c r="B718" t="s">
        <v>545</v>
      </c>
      <c r="C718" t="s">
        <v>546</v>
      </c>
      <c r="D718" t="s">
        <v>1053</v>
      </c>
      <c r="E718" t="s">
        <v>1134</v>
      </c>
      <c r="F718">
        <v>69</v>
      </c>
      <c r="G718">
        <v>1957</v>
      </c>
      <c r="H718">
        <v>668</v>
      </c>
      <c r="I718">
        <v>0.125</v>
      </c>
      <c r="J718">
        <v>3.6549999999999998</v>
      </c>
      <c r="K718">
        <v>0</v>
      </c>
    </row>
    <row r="719" spans="1:11" x14ac:dyDescent="0.25">
      <c r="A719">
        <v>11051</v>
      </c>
      <c r="B719" t="s">
        <v>547</v>
      </c>
      <c r="C719" t="s">
        <v>72</v>
      </c>
      <c r="E719" t="s">
        <v>1086</v>
      </c>
      <c r="F719">
        <v>22</v>
      </c>
      <c r="G719">
        <v>1970</v>
      </c>
      <c r="H719">
        <v>337</v>
      </c>
      <c r="I719">
        <v>3.3130000000000002</v>
      </c>
      <c r="J719">
        <v>439.56299999999999</v>
      </c>
      <c r="K719">
        <v>277</v>
      </c>
    </row>
    <row r="720" spans="1:11" x14ac:dyDescent="0.25">
      <c r="A720">
        <v>96024</v>
      </c>
      <c r="B720" t="s">
        <v>548</v>
      </c>
      <c r="C720" t="s">
        <v>54</v>
      </c>
      <c r="E720" t="s">
        <v>230</v>
      </c>
      <c r="F720">
        <v>10</v>
      </c>
      <c r="G720">
        <v>1963</v>
      </c>
      <c r="H720">
        <v>233</v>
      </c>
      <c r="I720">
        <v>16.187000000000001</v>
      </c>
      <c r="J720">
        <v>803.17899999999997</v>
      </c>
      <c r="K720">
        <v>245</v>
      </c>
    </row>
    <row r="721" spans="1:11" x14ac:dyDescent="0.25">
      <c r="A721">
        <v>96152</v>
      </c>
      <c r="B721" t="s">
        <v>548</v>
      </c>
      <c r="C721" t="s">
        <v>34</v>
      </c>
      <c r="E721" t="s">
        <v>230</v>
      </c>
      <c r="F721">
        <v>10</v>
      </c>
      <c r="G721">
        <v>1987</v>
      </c>
      <c r="H721">
        <v>212</v>
      </c>
      <c r="I721">
        <v>17.5</v>
      </c>
      <c r="J721">
        <v>956.495</v>
      </c>
      <c r="K721">
        <v>280</v>
      </c>
    </row>
    <row r="722" spans="1:11" x14ac:dyDescent="0.25">
      <c r="A722">
        <v>96151</v>
      </c>
      <c r="B722" t="s">
        <v>549</v>
      </c>
      <c r="C722" t="s">
        <v>194</v>
      </c>
      <c r="D722" t="s">
        <v>1053</v>
      </c>
      <c r="E722" t="s">
        <v>230</v>
      </c>
      <c r="F722">
        <v>10</v>
      </c>
      <c r="G722">
        <v>1989</v>
      </c>
      <c r="H722">
        <v>844</v>
      </c>
      <c r="I722">
        <v>0</v>
      </c>
      <c r="J722">
        <v>0</v>
      </c>
      <c r="K722">
        <v>0</v>
      </c>
    </row>
    <row r="723" spans="1:11" x14ac:dyDescent="0.25">
      <c r="A723">
        <v>96025</v>
      </c>
      <c r="B723" t="s">
        <v>549</v>
      </c>
      <c r="C723" t="s">
        <v>129</v>
      </c>
      <c r="D723" t="s">
        <v>1053</v>
      </c>
      <c r="E723" t="s">
        <v>230</v>
      </c>
      <c r="F723">
        <v>10</v>
      </c>
      <c r="G723">
        <v>1965</v>
      </c>
      <c r="H723">
        <v>421</v>
      </c>
      <c r="I723">
        <v>5.375</v>
      </c>
      <c r="J723">
        <v>250.47300000000001</v>
      </c>
      <c r="K723">
        <v>95</v>
      </c>
    </row>
    <row r="724" spans="1:11" x14ac:dyDescent="0.25">
      <c r="A724">
        <v>14007</v>
      </c>
      <c r="B724" t="s">
        <v>1642</v>
      </c>
      <c r="C724" t="s">
        <v>1643</v>
      </c>
      <c r="D724" t="s">
        <v>1053</v>
      </c>
      <c r="E724" t="s">
        <v>107</v>
      </c>
      <c r="F724">
        <v>45</v>
      </c>
      <c r="G724">
        <v>1949</v>
      </c>
      <c r="H724">
        <v>845</v>
      </c>
      <c r="I724">
        <v>0</v>
      </c>
      <c r="J724">
        <v>0</v>
      </c>
      <c r="K724">
        <v>0</v>
      </c>
    </row>
    <row r="725" spans="1:11" x14ac:dyDescent="0.25">
      <c r="A725">
        <v>16132</v>
      </c>
      <c r="B725" t="s">
        <v>1741</v>
      </c>
      <c r="C725" t="s">
        <v>1209</v>
      </c>
      <c r="D725" t="s">
        <v>139</v>
      </c>
      <c r="E725" t="s">
        <v>1164</v>
      </c>
      <c r="F725">
        <v>2</v>
      </c>
      <c r="G725">
        <v>2008</v>
      </c>
      <c r="H725">
        <v>846</v>
      </c>
      <c r="I725">
        <v>0</v>
      </c>
      <c r="J725">
        <v>0</v>
      </c>
      <c r="K725">
        <v>0</v>
      </c>
    </row>
    <row r="726" spans="1:11" x14ac:dyDescent="0.25">
      <c r="A726">
        <v>16133</v>
      </c>
      <c r="B726" t="s">
        <v>1741</v>
      </c>
      <c r="C726" t="s">
        <v>1742</v>
      </c>
      <c r="D726" t="s">
        <v>139</v>
      </c>
      <c r="E726" t="s">
        <v>1164</v>
      </c>
      <c r="F726">
        <v>2</v>
      </c>
      <c r="G726">
        <v>2005</v>
      </c>
      <c r="H726">
        <v>847</v>
      </c>
      <c r="I726">
        <v>0</v>
      </c>
      <c r="J726">
        <v>0</v>
      </c>
      <c r="K726">
        <v>0</v>
      </c>
    </row>
    <row r="727" spans="1:11" x14ac:dyDescent="0.25">
      <c r="A727">
        <v>96129</v>
      </c>
      <c r="B727" t="s">
        <v>550</v>
      </c>
      <c r="C727" t="s">
        <v>125</v>
      </c>
      <c r="E727" t="s">
        <v>1131</v>
      </c>
      <c r="F727">
        <v>7</v>
      </c>
      <c r="G727">
        <v>1971</v>
      </c>
      <c r="H727">
        <v>848</v>
      </c>
      <c r="I727">
        <v>0</v>
      </c>
      <c r="J727">
        <v>0</v>
      </c>
      <c r="K727">
        <v>0</v>
      </c>
    </row>
    <row r="728" spans="1:11" x14ac:dyDescent="0.25">
      <c r="A728">
        <v>16137</v>
      </c>
      <c r="B728" t="s">
        <v>1743</v>
      </c>
      <c r="C728" t="s">
        <v>1744</v>
      </c>
      <c r="D728" t="s">
        <v>1053</v>
      </c>
      <c r="E728" t="s">
        <v>1169</v>
      </c>
      <c r="F728">
        <v>76</v>
      </c>
      <c r="G728">
        <v>1986</v>
      </c>
      <c r="H728">
        <v>849</v>
      </c>
      <c r="I728">
        <v>0</v>
      </c>
      <c r="J728">
        <v>0</v>
      </c>
      <c r="K728">
        <v>0</v>
      </c>
    </row>
    <row r="729" spans="1:11" x14ac:dyDescent="0.25">
      <c r="A729">
        <v>15054</v>
      </c>
      <c r="B729" t="s">
        <v>551</v>
      </c>
      <c r="C729" t="s">
        <v>486</v>
      </c>
      <c r="D729" t="s">
        <v>1048</v>
      </c>
      <c r="E729" t="s">
        <v>1147</v>
      </c>
      <c r="F729">
        <v>1</v>
      </c>
      <c r="G729">
        <v>2005</v>
      </c>
      <c r="H729">
        <v>850</v>
      </c>
      <c r="I729">
        <v>0</v>
      </c>
      <c r="J729">
        <v>0</v>
      </c>
      <c r="K729">
        <v>0</v>
      </c>
    </row>
    <row r="730" spans="1:11" x14ac:dyDescent="0.25">
      <c r="A730">
        <v>28047</v>
      </c>
      <c r="B730" t="s">
        <v>551</v>
      </c>
      <c r="C730" t="s">
        <v>552</v>
      </c>
      <c r="E730" t="s">
        <v>1119</v>
      </c>
      <c r="F730">
        <v>54</v>
      </c>
      <c r="G730">
        <v>1962</v>
      </c>
      <c r="H730">
        <v>158</v>
      </c>
      <c r="I730">
        <v>13.83</v>
      </c>
      <c r="J730">
        <v>1362.5909999999999</v>
      </c>
      <c r="K730">
        <v>696</v>
      </c>
    </row>
    <row r="731" spans="1:11" x14ac:dyDescent="0.25">
      <c r="A731">
        <v>29023</v>
      </c>
      <c r="B731" t="s">
        <v>553</v>
      </c>
      <c r="C731" t="s">
        <v>33</v>
      </c>
      <c r="E731" t="s">
        <v>1182</v>
      </c>
      <c r="F731">
        <v>56</v>
      </c>
      <c r="G731">
        <v>1947</v>
      </c>
      <c r="H731">
        <v>247</v>
      </c>
      <c r="I731">
        <v>12.843999999999999</v>
      </c>
      <c r="J731">
        <v>735.23900000000003</v>
      </c>
      <c r="K731">
        <v>240</v>
      </c>
    </row>
    <row r="732" spans="1:11" x14ac:dyDescent="0.25">
      <c r="A732">
        <v>11013</v>
      </c>
      <c r="B732" t="s">
        <v>554</v>
      </c>
      <c r="C732" t="s">
        <v>36</v>
      </c>
      <c r="D732" t="s">
        <v>1053</v>
      </c>
      <c r="E732" t="s">
        <v>1182</v>
      </c>
      <c r="F732">
        <v>56</v>
      </c>
      <c r="G732">
        <v>1948</v>
      </c>
      <c r="H732">
        <v>292</v>
      </c>
      <c r="I732">
        <v>9.4220000000000006</v>
      </c>
      <c r="J732">
        <v>553.76400000000001</v>
      </c>
      <c r="K732">
        <v>186</v>
      </c>
    </row>
    <row r="733" spans="1:11" x14ac:dyDescent="0.25">
      <c r="A733">
        <v>16099</v>
      </c>
      <c r="B733" t="s">
        <v>1644</v>
      </c>
      <c r="C733" t="s">
        <v>543</v>
      </c>
      <c r="D733" t="s">
        <v>1053</v>
      </c>
      <c r="E733" t="s">
        <v>1441</v>
      </c>
      <c r="F733">
        <v>84</v>
      </c>
      <c r="G733">
        <v>1953</v>
      </c>
      <c r="H733">
        <v>851</v>
      </c>
      <c r="I733">
        <v>0</v>
      </c>
      <c r="J733">
        <v>0</v>
      </c>
      <c r="K733">
        <v>0</v>
      </c>
    </row>
    <row r="734" spans="1:11" x14ac:dyDescent="0.25">
      <c r="A734">
        <v>12064</v>
      </c>
      <c r="B734" t="s">
        <v>555</v>
      </c>
      <c r="C734" t="s">
        <v>72</v>
      </c>
      <c r="E734" t="s">
        <v>1171</v>
      </c>
      <c r="F734">
        <v>74</v>
      </c>
      <c r="G734">
        <v>1981</v>
      </c>
      <c r="H734">
        <v>323</v>
      </c>
      <c r="I734">
        <v>9.7810000000000006</v>
      </c>
      <c r="J734">
        <v>475.63400000000001</v>
      </c>
      <c r="K734">
        <v>136</v>
      </c>
    </row>
    <row r="735" spans="1:11" x14ac:dyDescent="0.25">
      <c r="A735">
        <v>22990</v>
      </c>
      <c r="B735" t="s">
        <v>555</v>
      </c>
      <c r="C735" t="s">
        <v>125</v>
      </c>
      <c r="E735" t="s">
        <v>31</v>
      </c>
      <c r="F735">
        <v>29</v>
      </c>
      <c r="G735">
        <v>1967</v>
      </c>
      <c r="H735">
        <v>321</v>
      </c>
      <c r="I735">
        <v>10.875999999999999</v>
      </c>
      <c r="J735">
        <v>488.97199999999998</v>
      </c>
      <c r="K735">
        <v>135</v>
      </c>
    </row>
    <row r="736" spans="1:11" x14ac:dyDescent="0.25">
      <c r="A736">
        <v>28055</v>
      </c>
      <c r="B736" t="s">
        <v>556</v>
      </c>
      <c r="C736" t="s">
        <v>346</v>
      </c>
      <c r="D736" t="s">
        <v>1053</v>
      </c>
      <c r="E736" t="s">
        <v>1182</v>
      </c>
      <c r="F736">
        <v>56</v>
      </c>
      <c r="G736">
        <v>1970</v>
      </c>
      <c r="H736">
        <v>43</v>
      </c>
      <c r="I736">
        <v>35.75</v>
      </c>
      <c r="J736">
        <v>2775.9789999999998</v>
      </c>
      <c r="K736">
        <v>1436</v>
      </c>
    </row>
    <row r="737" spans="1:11" x14ac:dyDescent="0.25">
      <c r="A737">
        <v>27052</v>
      </c>
      <c r="B737" t="s">
        <v>556</v>
      </c>
      <c r="C737" t="s">
        <v>27</v>
      </c>
      <c r="D737" t="s">
        <v>1053</v>
      </c>
      <c r="E737" t="s">
        <v>680</v>
      </c>
      <c r="F737">
        <v>19</v>
      </c>
      <c r="G737">
        <v>1955</v>
      </c>
      <c r="H737">
        <v>284</v>
      </c>
      <c r="I737">
        <v>7.641</v>
      </c>
      <c r="J737">
        <v>576.55499999999995</v>
      </c>
      <c r="K737">
        <v>269</v>
      </c>
    </row>
    <row r="738" spans="1:11" x14ac:dyDescent="0.25">
      <c r="A738">
        <v>10093</v>
      </c>
      <c r="B738" t="s">
        <v>557</v>
      </c>
      <c r="C738" t="s">
        <v>187</v>
      </c>
      <c r="E738" t="s">
        <v>1134</v>
      </c>
      <c r="F738">
        <v>69</v>
      </c>
      <c r="G738">
        <v>1947</v>
      </c>
      <c r="H738">
        <v>342</v>
      </c>
      <c r="I738">
        <v>5.016</v>
      </c>
      <c r="J738">
        <v>426.67599999999999</v>
      </c>
      <c r="K738">
        <v>216</v>
      </c>
    </row>
    <row r="739" spans="1:11" x14ac:dyDescent="0.25">
      <c r="A739">
        <v>16095</v>
      </c>
      <c r="B739" t="s">
        <v>1645</v>
      </c>
      <c r="C739" t="s">
        <v>61</v>
      </c>
      <c r="D739" t="s">
        <v>1053</v>
      </c>
      <c r="E739" t="s">
        <v>1441</v>
      </c>
      <c r="F739">
        <v>84</v>
      </c>
      <c r="G739">
        <v>1944</v>
      </c>
      <c r="H739">
        <v>647</v>
      </c>
      <c r="I739">
        <v>0.57799999999999996</v>
      </c>
      <c r="J739">
        <v>26.030999999999999</v>
      </c>
      <c r="K739">
        <v>0</v>
      </c>
    </row>
    <row r="740" spans="1:11" x14ac:dyDescent="0.25">
      <c r="A740">
        <v>96042</v>
      </c>
      <c r="B740" t="s">
        <v>558</v>
      </c>
      <c r="C740" t="s">
        <v>20</v>
      </c>
      <c r="D740" t="s">
        <v>1053</v>
      </c>
      <c r="E740" t="s">
        <v>1147</v>
      </c>
      <c r="F740">
        <v>1</v>
      </c>
      <c r="G740">
        <v>1963</v>
      </c>
      <c r="H740">
        <v>852</v>
      </c>
      <c r="I740">
        <v>0</v>
      </c>
      <c r="J740">
        <v>0</v>
      </c>
      <c r="K740">
        <v>0</v>
      </c>
    </row>
    <row r="741" spans="1:11" x14ac:dyDescent="0.25">
      <c r="A741">
        <v>16097</v>
      </c>
      <c r="B741" t="s">
        <v>1646</v>
      </c>
      <c r="C741" t="s">
        <v>20</v>
      </c>
      <c r="D741" t="s">
        <v>1053</v>
      </c>
      <c r="E741" t="s">
        <v>1441</v>
      </c>
      <c r="F741">
        <v>84</v>
      </c>
      <c r="G741">
        <v>1951</v>
      </c>
      <c r="H741">
        <v>639</v>
      </c>
      <c r="I741">
        <v>0.95299999999999996</v>
      </c>
      <c r="J741">
        <v>30.317</v>
      </c>
      <c r="K741">
        <v>0</v>
      </c>
    </row>
    <row r="742" spans="1:11" x14ac:dyDescent="0.25">
      <c r="A742">
        <v>21756</v>
      </c>
      <c r="B742" t="s">
        <v>1647</v>
      </c>
      <c r="C742" t="s">
        <v>112</v>
      </c>
      <c r="D742" t="s">
        <v>1053</v>
      </c>
      <c r="E742" t="s">
        <v>1143</v>
      </c>
      <c r="F742">
        <v>31</v>
      </c>
      <c r="G742">
        <v>1985</v>
      </c>
      <c r="H742">
        <v>464</v>
      </c>
      <c r="I742">
        <v>4.5</v>
      </c>
      <c r="J742">
        <v>192.49700000000001</v>
      </c>
      <c r="K742">
        <v>0</v>
      </c>
    </row>
    <row r="743" spans="1:11" x14ac:dyDescent="0.25">
      <c r="A743">
        <v>11059</v>
      </c>
      <c r="B743" t="s">
        <v>1648</v>
      </c>
      <c r="C743" t="s">
        <v>122</v>
      </c>
      <c r="D743" t="s">
        <v>1053</v>
      </c>
      <c r="E743" t="s">
        <v>1480</v>
      </c>
      <c r="F743">
        <v>65</v>
      </c>
      <c r="G743">
        <v>1987</v>
      </c>
      <c r="H743">
        <v>853</v>
      </c>
      <c r="I743">
        <v>0</v>
      </c>
      <c r="J743">
        <v>0</v>
      </c>
      <c r="K743">
        <v>0</v>
      </c>
    </row>
    <row r="744" spans="1:11" x14ac:dyDescent="0.25">
      <c r="A744">
        <v>28004</v>
      </c>
      <c r="B744" t="s">
        <v>559</v>
      </c>
      <c r="C744" t="s">
        <v>54</v>
      </c>
      <c r="E744" t="s">
        <v>1182</v>
      </c>
      <c r="F744">
        <v>56</v>
      </c>
      <c r="G744">
        <v>1978</v>
      </c>
      <c r="H744">
        <v>56</v>
      </c>
      <c r="I744">
        <v>29.876000000000001</v>
      </c>
      <c r="J744">
        <v>2469.7469999999998</v>
      </c>
      <c r="K744">
        <v>1198</v>
      </c>
    </row>
    <row r="745" spans="1:11" x14ac:dyDescent="0.25">
      <c r="A745">
        <v>16026</v>
      </c>
      <c r="B745" t="s">
        <v>1649</v>
      </c>
      <c r="C745" t="s">
        <v>111</v>
      </c>
      <c r="E745" t="s">
        <v>31</v>
      </c>
      <c r="F745">
        <v>29</v>
      </c>
      <c r="G745">
        <v>1992</v>
      </c>
      <c r="H745">
        <v>596</v>
      </c>
      <c r="I745">
        <v>1.4379999999999999</v>
      </c>
      <c r="J745">
        <v>49.896000000000001</v>
      </c>
      <c r="K745">
        <v>0</v>
      </c>
    </row>
    <row r="746" spans="1:11" x14ac:dyDescent="0.25">
      <c r="A746">
        <v>16027</v>
      </c>
      <c r="B746" t="s">
        <v>560</v>
      </c>
      <c r="C746" t="s">
        <v>98</v>
      </c>
      <c r="D746" t="s">
        <v>1053</v>
      </c>
      <c r="E746" t="s">
        <v>31</v>
      </c>
      <c r="F746">
        <v>29</v>
      </c>
      <c r="G746">
        <v>1972</v>
      </c>
      <c r="H746">
        <v>495</v>
      </c>
      <c r="I746">
        <v>3.7509999999999999</v>
      </c>
      <c r="J746">
        <v>137.47999999999999</v>
      </c>
      <c r="K746">
        <v>20</v>
      </c>
    </row>
    <row r="747" spans="1:11" x14ac:dyDescent="0.25">
      <c r="A747">
        <v>12017</v>
      </c>
      <c r="B747" t="s">
        <v>560</v>
      </c>
      <c r="C747" t="s">
        <v>182</v>
      </c>
      <c r="D747" t="s">
        <v>1053</v>
      </c>
      <c r="E747" t="s">
        <v>1162</v>
      </c>
      <c r="F747">
        <v>51</v>
      </c>
      <c r="G747">
        <v>1968</v>
      </c>
      <c r="H747">
        <v>86</v>
      </c>
      <c r="I747">
        <v>29.155999999999999</v>
      </c>
      <c r="J747">
        <v>2044.81</v>
      </c>
      <c r="K747">
        <v>977</v>
      </c>
    </row>
    <row r="748" spans="1:11" x14ac:dyDescent="0.25">
      <c r="A748">
        <v>10135</v>
      </c>
      <c r="B748" t="s">
        <v>561</v>
      </c>
      <c r="C748" t="s">
        <v>54</v>
      </c>
      <c r="E748" t="s">
        <v>1147</v>
      </c>
      <c r="F748">
        <v>1</v>
      </c>
      <c r="G748">
        <v>1945</v>
      </c>
      <c r="H748">
        <v>419</v>
      </c>
      <c r="I748">
        <v>6.3129999999999997</v>
      </c>
      <c r="J748">
        <v>253.03899999999999</v>
      </c>
      <c r="K748">
        <v>0</v>
      </c>
    </row>
    <row r="749" spans="1:11" x14ac:dyDescent="0.25">
      <c r="A749">
        <v>14062</v>
      </c>
      <c r="B749" t="s">
        <v>1650</v>
      </c>
      <c r="C749" t="s">
        <v>105</v>
      </c>
      <c r="E749" t="s">
        <v>1169</v>
      </c>
      <c r="F749">
        <v>76</v>
      </c>
      <c r="G749">
        <v>1948</v>
      </c>
      <c r="H749">
        <v>854</v>
      </c>
      <c r="I749">
        <v>0</v>
      </c>
      <c r="J749">
        <v>0</v>
      </c>
      <c r="K749">
        <v>0</v>
      </c>
    </row>
    <row r="750" spans="1:11" x14ac:dyDescent="0.25">
      <c r="A750">
        <v>12046</v>
      </c>
      <c r="B750" t="s">
        <v>562</v>
      </c>
      <c r="C750" t="s">
        <v>24</v>
      </c>
      <c r="E750" t="s">
        <v>1138</v>
      </c>
      <c r="F750">
        <v>21</v>
      </c>
      <c r="G750">
        <v>1991</v>
      </c>
      <c r="H750">
        <v>287</v>
      </c>
      <c r="I750">
        <v>7.375</v>
      </c>
      <c r="J750">
        <v>569.86199999999997</v>
      </c>
      <c r="K750">
        <v>293</v>
      </c>
    </row>
    <row r="751" spans="1:11" x14ac:dyDescent="0.25">
      <c r="A751">
        <v>16114</v>
      </c>
      <c r="B751" t="s">
        <v>562</v>
      </c>
      <c r="C751" t="s">
        <v>33</v>
      </c>
      <c r="E751" t="s">
        <v>1138</v>
      </c>
      <c r="F751">
        <v>21</v>
      </c>
      <c r="G751">
        <v>1954</v>
      </c>
      <c r="H751">
        <v>855</v>
      </c>
      <c r="I751">
        <v>0</v>
      </c>
      <c r="J751">
        <v>0</v>
      </c>
      <c r="K751">
        <v>0</v>
      </c>
    </row>
    <row r="752" spans="1:11" x14ac:dyDescent="0.25">
      <c r="A752">
        <v>28010</v>
      </c>
      <c r="B752" t="s">
        <v>563</v>
      </c>
      <c r="C752" t="s">
        <v>54</v>
      </c>
      <c r="E752" t="s">
        <v>1147</v>
      </c>
      <c r="F752">
        <v>1</v>
      </c>
      <c r="G752">
        <v>1969</v>
      </c>
      <c r="H752">
        <v>229</v>
      </c>
      <c r="I752">
        <v>13.625</v>
      </c>
      <c r="J752">
        <v>837.21600000000001</v>
      </c>
      <c r="K752">
        <v>275</v>
      </c>
    </row>
    <row r="753" spans="1:11" x14ac:dyDescent="0.25">
      <c r="A753">
        <v>16098</v>
      </c>
      <c r="B753" t="s">
        <v>1651</v>
      </c>
      <c r="C753" t="s">
        <v>109</v>
      </c>
      <c r="D753" t="s">
        <v>1053</v>
      </c>
      <c r="E753" t="s">
        <v>1441</v>
      </c>
      <c r="F753">
        <v>84</v>
      </c>
      <c r="G753">
        <v>1948</v>
      </c>
      <c r="H753">
        <v>856</v>
      </c>
      <c r="I753">
        <v>0</v>
      </c>
      <c r="J753">
        <v>0</v>
      </c>
      <c r="K753">
        <v>0</v>
      </c>
    </row>
    <row r="754" spans="1:11" x14ac:dyDescent="0.25">
      <c r="A754">
        <v>23046</v>
      </c>
      <c r="B754" t="s">
        <v>564</v>
      </c>
      <c r="C754" t="s">
        <v>33</v>
      </c>
      <c r="E754" t="s">
        <v>1125</v>
      </c>
      <c r="F754">
        <v>44</v>
      </c>
      <c r="G754">
        <v>1966</v>
      </c>
      <c r="H754">
        <v>858</v>
      </c>
      <c r="I754">
        <v>0</v>
      </c>
      <c r="J754">
        <v>0</v>
      </c>
      <c r="K754">
        <v>0</v>
      </c>
    </row>
    <row r="755" spans="1:11" x14ac:dyDescent="0.25">
      <c r="A755">
        <v>10068</v>
      </c>
      <c r="B755" t="s">
        <v>564</v>
      </c>
      <c r="C755" t="s">
        <v>328</v>
      </c>
      <c r="E755" t="s">
        <v>1125</v>
      </c>
      <c r="F755">
        <v>44</v>
      </c>
      <c r="G755">
        <v>1968</v>
      </c>
      <c r="H755">
        <v>857</v>
      </c>
      <c r="I755">
        <v>0</v>
      </c>
      <c r="J755">
        <v>0</v>
      </c>
      <c r="K755">
        <v>0</v>
      </c>
    </row>
    <row r="756" spans="1:11" x14ac:dyDescent="0.25">
      <c r="A756">
        <v>99551</v>
      </c>
      <c r="B756" t="s">
        <v>565</v>
      </c>
      <c r="C756" t="s">
        <v>46</v>
      </c>
      <c r="E756" t="s">
        <v>1116</v>
      </c>
      <c r="F756">
        <v>20</v>
      </c>
      <c r="G756">
        <v>1954</v>
      </c>
      <c r="H756">
        <v>273</v>
      </c>
      <c r="I756">
        <v>9.0640000000000001</v>
      </c>
      <c r="J756">
        <v>616.26099999999997</v>
      </c>
      <c r="K756">
        <v>226</v>
      </c>
    </row>
    <row r="757" spans="1:11" x14ac:dyDescent="0.25">
      <c r="A757">
        <v>28002</v>
      </c>
      <c r="B757" t="s">
        <v>1652</v>
      </c>
      <c r="C757" t="s">
        <v>46</v>
      </c>
      <c r="E757" t="s">
        <v>1116</v>
      </c>
      <c r="F757">
        <v>20</v>
      </c>
      <c r="G757">
        <v>1996</v>
      </c>
      <c r="H757">
        <v>391</v>
      </c>
      <c r="I757">
        <v>3.6869999999999998</v>
      </c>
      <c r="J757">
        <v>290.779</v>
      </c>
      <c r="K757">
        <v>124</v>
      </c>
    </row>
    <row r="758" spans="1:11" x14ac:dyDescent="0.25">
      <c r="A758">
        <v>29054</v>
      </c>
      <c r="B758" t="s">
        <v>566</v>
      </c>
      <c r="C758" t="s">
        <v>16</v>
      </c>
      <c r="E758" t="s">
        <v>1142</v>
      </c>
      <c r="F758">
        <v>64</v>
      </c>
      <c r="G758">
        <v>1971</v>
      </c>
      <c r="H758">
        <v>645</v>
      </c>
      <c r="I758">
        <v>0.65600000000000003</v>
      </c>
      <c r="J758">
        <v>28.071999999999999</v>
      </c>
      <c r="K758">
        <v>0</v>
      </c>
    </row>
    <row r="759" spans="1:11" x14ac:dyDescent="0.25">
      <c r="A759">
        <v>11022</v>
      </c>
      <c r="B759" t="s">
        <v>567</v>
      </c>
      <c r="C759" t="s">
        <v>415</v>
      </c>
      <c r="E759" t="s">
        <v>696</v>
      </c>
      <c r="F759">
        <v>33</v>
      </c>
      <c r="G759">
        <v>1972</v>
      </c>
      <c r="H759">
        <v>543</v>
      </c>
      <c r="I759">
        <v>1</v>
      </c>
      <c r="J759">
        <v>81.646000000000001</v>
      </c>
      <c r="K759">
        <v>38</v>
      </c>
    </row>
    <row r="760" spans="1:11" x14ac:dyDescent="0.25">
      <c r="A760">
        <v>15001</v>
      </c>
      <c r="B760" t="s">
        <v>1653</v>
      </c>
      <c r="C760" t="s">
        <v>46</v>
      </c>
      <c r="E760" t="s">
        <v>1092</v>
      </c>
      <c r="F760">
        <v>30</v>
      </c>
      <c r="G760">
        <v>1961</v>
      </c>
      <c r="H760">
        <v>167</v>
      </c>
      <c r="I760">
        <v>23.626000000000001</v>
      </c>
      <c r="J760">
        <v>1303.5509999999999</v>
      </c>
      <c r="K760">
        <v>435</v>
      </c>
    </row>
    <row r="761" spans="1:11" x14ac:dyDescent="0.25">
      <c r="A761">
        <v>98304</v>
      </c>
      <c r="B761" t="s">
        <v>568</v>
      </c>
      <c r="C761" t="s">
        <v>569</v>
      </c>
      <c r="D761" t="s">
        <v>1053</v>
      </c>
      <c r="E761" t="s">
        <v>1164</v>
      </c>
      <c r="F761">
        <v>2</v>
      </c>
      <c r="G761">
        <v>1960</v>
      </c>
      <c r="H761">
        <v>245</v>
      </c>
      <c r="I761">
        <v>14.281000000000001</v>
      </c>
      <c r="J761">
        <v>742.91600000000005</v>
      </c>
      <c r="K761">
        <v>302</v>
      </c>
    </row>
    <row r="762" spans="1:11" x14ac:dyDescent="0.25">
      <c r="A762">
        <v>99602</v>
      </c>
      <c r="B762" t="s">
        <v>570</v>
      </c>
      <c r="C762" t="s">
        <v>543</v>
      </c>
      <c r="D762" t="s">
        <v>1053</v>
      </c>
      <c r="E762" t="s">
        <v>1164</v>
      </c>
      <c r="F762">
        <v>2</v>
      </c>
      <c r="G762">
        <v>1962</v>
      </c>
      <c r="H762">
        <v>859</v>
      </c>
      <c r="I762">
        <v>0</v>
      </c>
      <c r="J762">
        <v>0</v>
      </c>
      <c r="K762">
        <v>0</v>
      </c>
    </row>
    <row r="763" spans="1:11" x14ac:dyDescent="0.25">
      <c r="A763">
        <v>14005</v>
      </c>
      <c r="B763" t="s">
        <v>1654</v>
      </c>
      <c r="C763" t="s">
        <v>24</v>
      </c>
      <c r="E763" t="s">
        <v>168</v>
      </c>
      <c r="F763">
        <v>68</v>
      </c>
      <c r="G763">
        <v>1988</v>
      </c>
      <c r="H763">
        <v>503</v>
      </c>
      <c r="I763">
        <v>2.9689999999999999</v>
      </c>
      <c r="J763">
        <v>130.054</v>
      </c>
      <c r="K763">
        <v>0</v>
      </c>
    </row>
    <row r="764" spans="1:11" x14ac:dyDescent="0.25">
      <c r="A764">
        <v>13063</v>
      </c>
      <c r="B764" t="s">
        <v>1291</v>
      </c>
      <c r="C764" t="s">
        <v>36</v>
      </c>
      <c r="D764" t="s">
        <v>1053</v>
      </c>
      <c r="E764" t="s">
        <v>1147</v>
      </c>
      <c r="F764">
        <v>1</v>
      </c>
      <c r="G764">
        <v>1953</v>
      </c>
      <c r="H764">
        <v>497</v>
      </c>
      <c r="I764">
        <v>3.5630000000000002</v>
      </c>
      <c r="J764">
        <v>136.38399999999999</v>
      </c>
      <c r="K764">
        <v>0</v>
      </c>
    </row>
    <row r="765" spans="1:11" x14ac:dyDescent="0.25">
      <c r="A765">
        <v>26034</v>
      </c>
      <c r="B765" t="s">
        <v>571</v>
      </c>
      <c r="C765" t="s">
        <v>276</v>
      </c>
      <c r="E765" t="s">
        <v>1122</v>
      </c>
      <c r="F765">
        <v>63</v>
      </c>
      <c r="G765">
        <v>1954</v>
      </c>
      <c r="H765">
        <v>54</v>
      </c>
      <c r="I765">
        <v>34</v>
      </c>
      <c r="J765">
        <v>2483.54</v>
      </c>
      <c r="K765">
        <v>1153</v>
      </c>
    </row>
    <row r="766" spans="1:11" x14ac:dyDescent="0.25">
      <c r="A766">
        <v>12043</v>
      </c>
      <c r="B766" t="s">
        <v>572</v>
      </c>
      <c r="C766" t="s">
        <v>249</v>
      </c>
      <c r="D766" t="s">
        <v>1053</v>
      </c>
      <c r="E766" t="s">
        <v>1103</v>
      </c>
      <c r="F766">
        <v>48</v>
      </c>
      <c r="G766">
        <v>1966</v>
      </c>
      <c r="H766">
        <v>533</v>
      </c>
      <c r="I766">
        <v>1.0940000000000001</v>
      </c>
      <c r="J766">
        <v>92.078000000000003</v>
      </c>
      <c r="K766">
        <v>44</v>
      </c>
    </row>
    <row r="767" spans="1:11" x14ac:dyDescent="0.25">
      <c r="A767">
        <v>21754</v>
      </c>
      <c r="B767" t="s">
        <v>573</v>
      </c>
      <c r="C767" t="s">
        <v>72</v>
      </c>
      <c r="E767" t="s">
        <v>1170</v>
      </c>
      <c r="F767">
        <v>55</v>
      </c>
      <c r="G767">
        <v>1976</v>
      </c>
      <c r="H767">
        <v>57</v>
      </c>
      <c r="I767">
        <v>38.5</v>
      </c>
      <c r="J767">
        <v>2442.4270000000001</v>
      </c>
      <c r="K767">
        <v>980</v>
      </c>
    </row>
    <row r="768" spans="1:11" x14ac:dyDescent="0.25">
      <c r="A768">
        <v>21755</v>
      </c>
      <c r="B768" t="s">
        <v>573</v>
      </c>
      <c r="C768" t="s">
        <v>22</v>
      </c>
      <c r="E768" t="s">
        <v>1143</v>
      </c>
      <c r="F768">
        <v>31</v>
      </c>
      <c r="G768">
        <v>1981</v>
      </c>
      <c r="H768">
        <v>74</v>
      </c>
      <c r="I768">
        <v>26.375</v>
      </c>
      <c r="J768">
        <v>2221.605</v>
      </c>
      <c r="K768">
        <v>973</v>
      </c>
    </row>
    <row r="769" spans="1:11" x14ac:dyDescent="0.25">
      <c r="A769">
        <v>21752</v>
      </c>
      <c r="B769" t="s">
        <v>573</v>
      </c>
      <c r="C769" t="s">
        <v>16</v>
      </c>
      <c r="E769" t="s">
        <v>1143</v>
      </c>
      <c r="F769">
        <v>31</v>
      </c>
      <c r="G769">
        <v>1956</v>
      </c>
      <c r="H769">
        <v>249</v>
      </c>
      <c r="I769">
        <v>8.375</v>
      </c>
      <c r="J769">
        <v>727.13400000000001</v>
      </c>
      <c r="K769">
        <v>340</v>
      </c>
    </row>
    <row r="770" spans="1:11" x14ac:dyDescent="0.25">
      <c r="A770">
        <v>21837</v>
      </c>
      <c r="B770" t="s">
        <v>574</v>
      </c>
      <c r="C770" t="s">
        <v>265</v>
      </c>
      <c r="D770" t="s">
        <v>1053</v>
      </c>
      <c r="E770" t="s">
        <v>1143</v>
      </c>
      <c r="F770">
        <v>31</v>
      </c>
      <c r="G770">
        <v>1982</v>
      </c>
      <c r="H770">
        <v>250</v>
      </c>
      <c r="I770">
        <v>7.5</v>
      </c>
      <c r="J770">
        <v>724.85500000000002</v>
      </c>
      <c r="K770">
        <v>372</v>
      </c>
    </row>
    <row r="771" spans="1:11" x14ac:dyDescent="0.25">
      <c r="A771">
        <v>21753</v>
      </c>
      <c r="B771" t="s">
        <v>574</v>
      </c>
      <c r="C771" t="s">
        <v>404</v>
      </c>
      <c r="D771" t="s">
        <v>1053</v>
      </c>
      <c r="E771" t="s">
        <v>1143</v>
      </c>
      <c r="F771">
        <v>31</v>
      </c>
      <c r="G771">
        <v>1957</v>
      </c>
      <c r="H771">
        <v>860</v>
      </c>
      <c r="I771">
        <v>0</v>
      </c>
      <c r="J771">
        <v>0</v>
      </c>
      <c r="K771">
        <v>0</v>
      </c>
    </row>
    <row r="772" spans="1:11" x14ac:dyDescent="0.25">
      <c r="A772">
        <v>96026</v>
      </c>
      <c r="B772" t="s">
        <v>575</v>
      </c>
      <c r="C772" t="s">
        <v>46</v>
      </c>
      <c r="E772" t="s">
        <v>230</v>
      </c>
      <c r="F772">
        <v>10</v>
      </c>
      <c r="G772">
        <v>1960</v>
      </c>
      <c r="H772">
        <v>861</v>
      </c>
      <c r="I772">
        <v>0</v>
      </c>
      <c r="J772">
        <v>0</v>
      </c>
      <c r="K772">
        <v>0</v>
      </c>
    </row>
    <row r="773" spans="1:11" x14ac:dyDescent="0.25">
      <c r="A773">
        <v>96027</v>
      </c>
      <c r="B773" t="s">
        <v>576</v>
      </c>
      <c r="C773" t="s">
        <v>112</v>
      </c>
      <c r="D773" t="s">
        <v>1053</v>
      </c>
      <c r="E773" t="s">
        <v>230</v>
      </c>
      <c r="F773">
        <v>10</v>
      </c>
      <c r="G773">
        <v>1961</v>
      </c>
      <c r="H773">
        <v>862</v>
      </c>
      <c r="I773">
        <v>0</v>
      </c>
      <c r="J773">
        <v>0</v>
      </c>
      <c r="K773">
        <v>0</v>
      </c>
    </row>
    <row r="774" spans="1:11" x14ac:dyDescent="0.25">
      <c r="A774">
        <v>14004</v>
      </c>
      <c r="B774" t="s">
        <v>1655</v>
      </c>
      <c r="C774" t="s">
        <v>46</v>
      </c>
      <c r="E774" t="s">
        <v>1103</v>
      </c>
      <c r="F774">
        <v>48</v>
      </c>
      <c r="G774">
        <v>1986</v>
      </c>
      <c r="H774">
        <v>863</v>
      </c>
      <c r="I774">
        <v>0</v>
      </c>
      <c r="J774">
        <v>0</v>
      </c>
      <c r="K774">
        <v>0</v>
      </c>
    </row>
    <row r="775" spans="1:11" x14ac:dyDescent="0.25">
      <c r="A775">
        <v>10048</v>
      </c>
      <c r="B775" t="s">
        <v>577</v>
      </c>
      <c r="C775" t="s">
        <v>105</v>
      </c>
      <c r="E775" t="s">
        <v>1122</v>
      </c>
      <c r="F775">
        <v>63</v>
      </c>
      <c r="G775">
        <v>1996</v>
      </c>
      <c r="H775">
        <v>45</v>
      </c>
      <c r="I775">
        <v>35.375</v>
      </c>
      <c r="J775">
        <v>2728.08</v>
      </c>
      <c r="K775">
        <v>1408</v>
      </c>
    </row>
    <row r="776" spans="1:11" x14ac:dyDescent="0.25">
      <c r="A776">
        <v>24320</v>
      </c>
      <c r="B776" t="s">
        <v>579</v>
      </c>
      <c r="C776" t="s">
        <v>580</v>
      </c>
      <c r="D776" t="s">
        <v>1053</v>
      </c>
      <c r="E776" t="s">
        <v>680</v>
      </c>
      <c r="F776">
        <v>19</v>
      </c>
      <c r="G776">
        <v>1963</v>
      </c>
      <c r="H776">
        <v>504</v>
      </c>
      <c r="I776">
        <v>2.2509999999999999</v>
      </c>
      <c r="J776">
        <v>129.255</v>
      </c>
      <c r="K776">
        <v>44</v>
      </c>
    </row>
    <row r="777" spans="1:11" x14ac:dyDescent="0.25">
      <c r="A777">
        <v>15071</v>
      </c>
      <c r="B777" t="s">
        <v>1656</v>
      </c>
      <c r="C777" t="s">
        <v>1657</v>
      </c>
      <c r="D777" t="s">
        <v>1048</v>
      </c>
      <c r="E777" t="s">
        <v>1095</v>
      </c>
      <c r="F777">
        <v>52</v>
      </c>
      <c r="G777">
        <v>2000</v>
      </c>
      <c r="H777">
        <v>864</v>
      </c>
      <c r="I777">
        <v>0</v>
      </c>
      <c r="J777">
        <v>0</v>
      </c>
      <c r="K777">
        <v>0</v>
      </c>
    </row>
    <row r="778" spans="1:11" x14ac:dyDescent="0.25">
      <c r="A778">
        <v>10159</v>
      </c>
      <c r="B778" t="s">
        <v>581</v>
      </c>
      <c r="C778" t="s">
        <v>582</v>
      </c>
      <c r="E778" t="s">
        <v>1506</v>
      </c>
      <c r="F778">
        <v>77</v>
      </c>
      <c r="G778">
        <v>1949</v>
      </c>
      <c r="H778">
        <v>207</v>
      </c>
      <c r="I778">
        <v>16.251999999999999</v>
      </c>
      <c r="J778">
        <v>989.35400000000004</v>
      </c>
      <c r="K778">
        <v>363</v>
      </c>
    </row>
    <row r="779" spans="1:11" x14ac:dyDescent="0.25">
      <c r="A779">
        <v>10163</v>
      </c>
      <c r="B779" t="s">
        <v>583</v>
      </c>
      <c r="C779" t="s">
        <v>98</v>
      </c>
      <c r="D779" t="s">
        <v>1053</v>
      </c>
      <c r="E779" t="s">
        <v>1506</v>
      </c>
      <c r="F779">
        <v>77</v>
      </c>
      <c r="G779">
        <v>1952</v>
      </c>
      <c r="H779">
        <v>90</v>
      </c>
      <c r="I779">
        <v>30.564</v>
      </c>
      <c r="J779">
        <v>2005.7429999999999</v>
      </c>
      <c r="K779">
        <v>1006</v>
      </c>
    </row>
    <row r="780" spans="1:11" x14ac:dyDescent="0.25">
      <c r="A780">
        <v>13036</v>
      </c>
      <c r="B780" t="s">
        <v>583</v>
      </c>
      <c r="C780" t="s">
        <v>36</v>
      </c>
      <c r="D780" t="s">
        <v>1053</v>
      </c>
      <c r="E780" t="s">
        <v>1169</v>
      </c>
      <c r="F780">
        <v>76</v>
      </c>
      <c r="G780">
        <v>1957</v>
      </c>
      <c r="H780">
        <v>865</v>
      </c>
      <c r="I780">
        <v>0</v>
      </c>
      <c r="J780">
        <v>0</v>
      </c>
      <c r="K780">
        <v>0</v>
      </c>
    </row>
    <row r="781" spans="1:11" x14ac:dyDescent="0.25">
      <c r="A781">
        <v>29062</v>
      </c>
      <c r="B781" t="s">
        <v>584</v>
      </c>
      <c r="C781" t="s">
        <v>1658</v>
      </c>
      <c r="D781" t="s">
        <v>1048</v>
      </c>
      <c r="E781" t="s">
        <v>1116</v>
      </c>
      <c r="F781">
        <v>20</v>
      </c>
      <c r="G781">
        <v>1999</v>
      </c>
      <c r="H781">
        <v>12</v>
      </c>
      <c r="I781">
        <v>56.25</v>
      </c>
      <c r="J781">
        <v>3541.5010000000002</v>
      </c>
      <c r="K781">
        <v>1260</v>
      </c>
    </row>
    <row r="782" spans="1:11" x14ac:dyDescent="0.25">
      <c r="A782">
        <v>29061</v>
      </c>
      <c r="B782" t="s">
        <v>584</v>
      </c>
      <c r="C782" t="s">
        <v>1659</v>
      </c>
      <c r="E782" t="s">
        <v>1116</v>
      </c>
      <c r="F782">
        <v>20</v>
      </c>
      <c r="G782">
        <v>1970</v>
      </c>
      <c r="H782">
        <v>256</v>
      </c>
      <c r="I782">
        <v>8.5939999999999994</v>
      </c>
      <c r="J782">
        <v>691.56899999999996</v>
      </c>
      <c r="K782">
        <v>330</v>
      </c>
    </row>
    <row r="783" spans="1:11" x14ac:dyDescent="0.25">
      <c r="A783">
        <v>23068</v>
      </c>
      <c r="B783" t="s">
        <v>585</v>
      </c>
      <c r="C783" t="s">
        <v>46</v>
      </c>
      <c r="E783" t="s">
        <v>680</v>
      </c>
      <c r="F783">
        <v>19</v>
      </c>
      <c r="G783">
        <v>1961</v>
      </c>
      <c r="H783">
        <v>866</v>
      </c>
      <c r="I783">
        <v>0</v>
      </c>
      <c r="J783">
        <v>0</v>
      </c>
      <c r="K783">
        <v>0</v>
      </c>
    </row>
    <row r="784" spans="1:11" x14ac:dyDescent="0.25">
      <c r="A784">
        <v>16054</v>
      </c>
      <c r="B784" t="s">
        <v>585</v>
      </c>
      <c r="C784" t="s">
        <v>287</v>
      </c>
      <c r="E784" t="s">
        <v>1453</v>
      </c>
      <c r="F784">
        <v>82</v>
      </c>
      <c r="G784">
        <v>1966</v>
      </c>
      <c r="H784">
        <v>867</v>
      </c>
      <c r="I784">
        <v>0</v>
      </c>
      <c r="J784">
        <v>0</v>
      </c>
      <c r="K784">
        <v>0</v>
      </c>
    </row>
    <row r="785" spans="1:11" x14ac:dyDescent="0.25">
      <c r="A785">
        <v>23071</v>
      </c>
      <c r="B785" t="s">
        <v>586</v>
      </c>
      <c r="C785" t="s">
        <v>587</v>
      </c>
      <c r="D785" t="s">
        <v>1053</v>
      </c>
      <c r="E785" t="s">
        <v>680</v>
      </c>
      <c r="F785">
        <v>19</v>
      </c>
      <c r="G785">
        <v>1959</v>
      </c>
      <c r="H785">
        <v>868</v>
      </c>
      <c r="I785">
        <v>0</v>
      </c>
      <c r="J785">
        <v>0</v>
      </c>
      <c r="K785">
        <v>0</v>
      </c>
    </row>
    <row r="786" spans="1:11" x14ac:dyDescent="0.25">
      <c r="A786">
        <v>15070</v>
      </c>
      <c r="B786" t="s">
        <v>1660</v>
      </c>
      <c r="C786" t="s">
        <v>1661</v>
      </c>
      <c r="D786" t="s">
        <v>1053</v>
      </c>
      <c r="E786" t="s">
        <v>1095</v>
      </c>
      <c r="F786">
        <v>52</v>
      </c>
      <c r="G786">
        <v>1973</v>
      </c>
      <c r="H786">
        <v>346</v>
      </c>
      <c r="I786">
        <v>7.97</v>
      </c>
      <c r="J786">
        <v>417.17899999999997</v>
      </c>
      <c r="K786">
        <v>95</v>
      </c>
    </row>
    <row r="787" spans="1:11" x14ac:dyDescent="0.25">
      <c r="A787">
        <v>15057</v>
      </c>
      <c r="B787" t="s">
        <v>1662</v>
      </c>
      <c r="C787" t="s">
        <v>30</v>
      </c>
      <c r="D787" t="s">
        <v>1048</v>
      </c>
      <c r="E787" t="s">
        <v>1147</v>
      </c>
      <c r="F787">
        <v>1</v>
      </c>
      <c r="G787">
        <v>2005</v>
      </c>
      <c r="H787">
        <v>435</v>
      </c>
      <c r="I787">
        <v>6.7190000000000003</v>
      </c>
      <c r="J787">
        <v>232.03899999999999</v>
      </c>
      <c r="K787">
        <v>0</v>
      </c>
    </row>
    <row r="788" spans="1:11" x14ac:dyDescent="0.25">
      <c r="A788">
        <v>14100</v>
      </c>
      <c r="B788" t="s">
        <v>1663</v>
      </c>
      <c r="C788" t="s">
        <v>112</v>
      </c>
      <c r="D788" t="s">
        <v>1053</v>
      </c>
      <c r="E788" t="s">
        <v>1142</v>
      </c>
      <c r="F788">
        <v>64</v>
      </c>
      <c r="G788">
        <v>1981</v>
      </c>
      <c r="H788">
        <v>188</v>
      </c>
      <c r="I788">
        <v>17.782</v>
      </c>
      <c r="J788">
        <v>1147.569</v>
      </c>
      <c r="K788">
        <v>472</v>
      </c>
    </row>
    <row r="789" spans="1:11" x14ac:dyDescent="0.25">
      <c r="A789">
        <v>96102</v>
      </c>
      <c r="B789" t="s">
        <v>588</v>
      </c>
      <c r="C789" t="s">
        <v>16</v>
      </c>
      <c r="E789" t="s">
        <v>1138</v>
      </c>
      <c r="F789">
        <v>21</v>
      </c>
      <c r="G789">
        <v>1980</v>
      </c>
      <c r="H789">
        <v>364</v>
      </c>
      <c r="I789">
        <v>2.9689999999999999</v>
      </c>
      <c r="J789">
        <v>375.95</v>
      </c>
      <c r="K789">
        <v>246</v>
      </c>
    </row>
    <row r="790" spans="1:11" x14ac:dyDescent="0.25">
      <c r="A790">
        <v>96052</v>
      </c>
      <c r="B790" t="s">
        <v>588</v>
      </c>
      <c r="C790" t="s">
        <v>78</v>
      </c>
      <c r="E790" t="s">
        <v>1138</v>
      </c>
      <c r="F790">
        <v>21</v>
      </c>
      <c r="G790">
        <v>1948</v>
      </c>
      <c r="H790">
        <v>322</v>
      </c>
      <c r="I790">
        <v>11.61</v>
      </c>
      <c r="J790">
        <v>483.16399999999999</v>
      </c>
      <c r="K790">
        <v>48</v>
      </c>
    </row>
    <row r="791" spans="1:11" x14ac:dyDescent="0.25">
      <c r="A791">
        <v>10031</v>
      </c>
      <c r="B791" t="s">
        <v>589</v>
      </c>
      <c r="C791" t="s">
        <v>46</v>
      </c>
      <c r="E791" t="s">
        <v>65</v>
      </c>
      <c r="F791">
        <v>67</v>
      </c>
      <c r="G791">
        <v>1959</v>
      </c>
      <c r="H791">
        <v>479</v>
      </c>
      <c r="I791">
        <v>5.3129999999999997</v>
      </c>
      <c r="J791">
        <v>165.24199999999999</v>
      </c>
      <c r="K791">
        <v>0</v>
      </c>
    </row>
    <row r="792" spans="1:11" x14ac:dyDescent="0.25">
      <c r="A792">
        <v>10032</v>
      </c>
      <c r="B792" t="s">
        <v>589</v>
      </c>
      <c r="C792" t="s">
        <v>46</v>
      </c>
      <c r="E792" t="s">
        <v>65</v>
      </c>
      <c r="F792">
        <v>67</v>
      </c>
      <c r="G792">
        <v>1953</v>
      </c>
      <c r="H792">
        <v>594</v>
      </c>
      <c r="I792">
        <v>1.375</v>
      </c>
      <c r="J792">
        <v>50.573</v>
      </c>
      <c r="K792">
        <v>0</v>
      </c>
    </row>
    <row r="793" spans="1:11" x14ac:dyDescent="0.25">
      <c r="A793">
        <v>10033</v>
      </c>
      <c r="B793" t="s">
        <v>589</v>
      </c>
      <c r="C793" t="s">
        <v>306</v>
      </c>
      <c r="E793" t="s">
        <v>65</v>
      </c>
      <c r="F793">
        <v>67</v>
      </c>
      <c r="G793">
        <v>1963</v>
      </c>
      <c r="H793">
        <v>610</v>
      </c>
      <c r="I793">
        <v>1.1879999999999999</v>
      </c>
      <c r="J793">
        <v>41.320999999999998</v>
      </c>
      <c r="K793">
        <v>0</v>
      </c>
    </row>
    <row r="794" spans="1:11" x14ac:dyDescent="0.25">
      <c r="A794">
        <v>23053</v>
      </c>
      <c r="B794" t="s">
        <v>590</v>
      </c>
      <c r="C794" t="s">
        <v>480</v>
      </c>
      <c r="E794" t="s">
        <v>1147</v>
      </c>
      <c r="F794">
        <v>1</v>
      </c>
      <c r="G794">
        <v>1978</v>
      </c>
      <c r="H794">
        <v>499</v>
      </c>
      <c r="I794">
        <v>3.5</v>
      </c>
      <c r="J794">
        <v>134.803</v>
      </c>
      <c r="K794">
        <v>0</v>
      </c>
    </row>
    <row r="795" spans="1:11" x14ac:dyDescent="0.25">
      <c r="A795">
        <v>21786</v>
      </c>
      <c r="B795" t="s">
        <v>591</v>
      </c>
      <c r="C795" t="s">
        <v>206</v>
      </c>
      <c r="D795" t="s">
        <v>1053</v>
      </c>
      <c r="E795" t="s">
        <v>1147</v>
      </c>
      <c r="F795">
        <v>1</v>
      </c>
      <c r="G795">
        <v>1986</v>
      </c>
      <c r="H795">
        <v>16</v>
      </c>
      <c r="I795">
        <v>39.125</v>
      </c>
      <c r="J795">
        <v>3386.585</v>
      </c>
      <c r="K795">
        <v>1603</v>
      </c>
    </row>
    <row r="796" spans="1:11" x14ac:dyDescent="0.25">
      <c r="A796">
        <v>14020</v>
      </c>
      <c r="B796" t="s">
        <v>1664</v>
      </c>
      <c r="C796" t="s">
        <v>1665</v>
      </c>
      <c r="E796" t="s">
        <v>1162</v>
      </c>
      <c r="F796">
        <v>51</v>
      </c>
      <c r="G796">
        <v>1950</v>
      </c>
      <c r="H796">
        <v>299</v>
      </c>
      <c r="I796">
        <v>9.7509999999999994</v>
      </c>
      <c r="J796">
        <v>538.02</v>
      </c>
      <c r="K796">
        <v>115</v>
      </c>
    </row>
    <row r="797" spans="1:11" x14ac:dyDescent="0.25">
      <c r="A797">
        <v>10128</v>
      </c>
      <c r="B797" t="s">
        <v>592</v>
      </c>
      <c r="C797" t="s">
        <v>143</v>
      </c>
      <c r="D797" t="s">
        <v>1053</v>
      </c>
      <c r="E797" t="s">
        <v>1167</v>
      </c>
      <c r="F797">
        <v>70</v>
      </c>
      <c r="G797">
        <v>1935</v>
      </c>
      <c r="H797">
        <v>869</v>
      </c>
      <c r="I797">
        <v>0</v>
      </c>
      <c r="J797">
        <v>0</v>
      </c>
      <c r="K797">
        <v>0</v>
      </c>
    </row>
    <row r="798" spans="1:11" x14ac:dyDescent="0.25">
      <c r="A798">
        <v>14082</v>
      </c>
      <c r="B798" t="s">
        <v>1666</v>
      </c>
      <c r="C798" t="s">
        <v>72</v>
      </c>
      <c r="E798" t="s">
        <v>1437</v>
      </c>
      <c r="F798">
        <v>79</v>
      </c>
      <c r="G798">
        <v>1991</v>
      </c>
      <c r="H798">
        <v>870</v>
      </c>
      <c r="I798">
        <v>0</v>
      </c>
      <c r="J798">
        <v>0</v>
      </c>
      <c r="K798">
        <v>0</v>
      </c>
    </row>
    <row r="799" spans="1:11" x14ac:dyDescent="0.25">
      <c r="A799">
        <v>97232</v>
      </c>
      <c r="B799" t="s">
        <v>593</v>
      </c>
      <c r="C799" t="s">
        <v>67</v>
      </c>
      <c r="E799" t="s">
        <v>1172</v>
      </c>
      <c r="F799">
        <v>24</v>
      </c>
      <c r="G799">
        <v>1982</v>
      </c>
      <c r="H799">
        <v>106</v>
      </c>
      <c r="I799">
        <v>24.187999999999999</v>
      </c>
      <c r="J799">
        <v>1840.2439999999999</v>
      </c>
      <c r="K799">
        <v>734</v>
      </c>
    </row>
    <row r="800" spans="1:11" x14ac:dyDescent="0.25">
      <c r="A800">
        <v>96200</v>
      </c>
      <c r="B800" t="s">
        <v>593</v>
      </c>
      <c r="C800" t="s">
        <v>16</v>
      </c>
      <c r="E800" t="s">
        <v>1172</v>
      </c>
      <c r="F800">
        <v>24</v>
      </c>
      <c r="G800">
        <v>1952</v>
      </c>
      <c r="H800">
        <v>109</v>
      </c>
      <c r="I800">
        <v>24.937999999999999</v>
      </c>
      <c r="J800">
        <v>1823.42</v>
      </c>
      <c r="K800">
        <v>687</v>
      </c>
    </row>
    <row r="801" spans="1:11" x14ac:dyDescent="0.25">
      <c r="A801">
        <v>10073</v>
      </c>
      <c r="B801" t="s">
        <v>594</v>
      </c>
      <c r="C801" t="s">
        <v>105</v>
      </c>
      <c r="E801" t="s">
        <v>1123</v>
      </c>
      <c r="F801">
        <v>27</v>
      </c>
      <c r="G801">
        <v>1948</v>
      </c>
      <c r="H801">
        <v>286</v>
      </c>
      <c r="I801">
        <v>9.7509999999999994</v>
      </c>
      <c r="J801">
        <v>574.99900000000002</v>
      </c>
      <c r="K801">
        <v>224</v>
      </c>
    </row>
    <row r="802" spans="1:11" x14ac:dyDescent="0.25">
      <c r="A802">
        <v>10037</v>
      </c>
      <c r="B802" t="s">
        <v>595</v>
      </c>
      <c r="C802" t="s">
        <v>195</v>
      </c>
      <c r="E802" t="s">
        <v>168</v>
      </c>
      <c r="F802">
        <v>68</v>
      </c>
      <c r="G802">
        <v>1976</v>
      </c>
      <c r="H802">
        <v>239</v>
      </c>
      <c r="I802">
        <v>9.423</v>
      </c>
      <c r="J802">
        <v>764.04</v>
      </c>
      <c r="K802">
        <v>341</v>
      </c>
    </row>
    <row r="803" spans="1:11" x14ac:dyDescent="0.25">
      <c r="A803">
        <v>96213</v>
      </c>
      <c r="B803" t="s">
        <v>596</v>
      </c>
      <c r="C803" t="s">
        <v>489</v>
      </c>
      <c r="D803" t="s">
        <v>1053</v>
      </c>
      <c r="E803" t="s">
        <v>1172</v>
      </c>
      <c r="F803">
        <v>24</v>
      </c>
      <c r="G803">
        <v>1960</v>
      </c>
      <c r="H803">
        <v>224</v>
      </c>
      <c r="I803">
        <v>11.845000000000001</v>
      </c>
      <c r="J803">
        <v>861.00099999999998</v>
      </c>
      <c r="K803">
        <v>319</v>
      </c>
    </row>
    <row r="804" spans="1:11" x14ac:dyDescent="0.25">
      <c r="A804">
        <v>28027</v>
      </c>
      <c r="B804" t="s">
        <v>597</v>
      </c>
      <c r="C804" t="s">
        <v>166</v>
      </c>
      <c r="E804" t="s">
        <v>127</v>
      </c>
      <c r="F804">
        <v>62</v>
      </c>
      <c r="G804">
        <v>1968</v>
      </c>
      <c r="H804">
        <v>269</v>
      </c>
      <c r="I804">
        <v>10.031000000000001</v>
      </c>
      <c r="J804">
        <v>637.66</v>
      </c>
      <c r="K804">
        <v>256</v>
      </c>
    </row>
    <row r="805" spans="1:11" x14ac:dyDescent="0.25">
      <c r="A805">
        <v>13084</v>
      </c>
      <c r="B805" t="s">
        <v>1667</v>
      </c>
      <c r="C805" t="s">
        <v>111</v>
      </c>
      <c r="E805" t="s">
        <v>1142</v>
      </c>
      <c r="F805">
        <v>64</v>
      </c>
      <c r="G805">
        <v>1979</v>
      </c>
      <c r="H805">
        <v>231</v>
      </c>
      <c r="I805">
        <v>16.751000000000001</v>
      </c>
      <c r="J805">
        <v>819.83199999999999</v>
      </c>
      <c r="K805">
        <v>142</v>
      </c>
    </row>
    <row r="806" spans="1:11" x14ac:dyDescent="0.25">
      <c r="A806">
        <v>14079</v>
      </c>
      <c r="B806" t="s">
        <v>1668</v>
      </c>
      <c r="C806" t="s">
        <v>72</v>
      </c>
      <c r="D806" t="s">
        <v>1048</v>
      </c>
      <c r="E806" t="s">
        <v>1437</v>
      </c>
      <c r="F806">
        <v>79</v>
      </c>
      <c r="G806">
        <v>2002</v>
      </c>
      <c r="H806">
        <v>107</v>
      </c>
      <c r="I806">
        <v>26.780999999999999</v>
      </c>
      <c r="J806">
        <v>1838.643</v>
      </c>
      <c r="K806">
        <v>785</v>
      </c>
    </row>
    <row r="807" spans="1:11" x14ac:dyDescent="0.25">
      <c r="A807">
        <v>25091</v>
      </c>
      <c r="B807" t="s">
        <v>598</v>
      </c>
      <c r="C807" t="s">
        <v>72</v>
      </c>
      <c r="E807" t="s">
        <v>1172</v>
      </c>
      <c r="F807">
        <v>24</v>
      </c>
      <c r="G807">
        <v>1975</v>
      </c>
      <c r="H807">
        <v>871</v>
      </c>
      <c r="I807">
        <v>0</v>
      </c>
      <c r="J807">
        <v>0</v>
      </c>
      <c r="K807">
        <v>0</v>
      </c>
    </row>
    <row r="808" spans="1:11" x14ac:dyDescent="0.25">
      <c r="A808">
        <v>21827</v>
      </c>
      <c r="B808" t="s">
        <v>599</v>
      </c>
      <c r="C808" t="s">
        <v>46</v>
      </c>
      <c r="E808" t="s">
        <v>1193</v>
      </c>
      <c r="F808">
        <v>36</v>
      </c>
      <c r="G808">
        <v>1978</v>
      </c>
      <c r="H808">
        <v>872</v>
      </c>
      <c r="I808">
        <v>0</v>
      </c>
      <c r="J808">
        <v>0</v>
      </c>
      <c r="K808">
        <v>0</v>
      </c>
    </row>
    <row r="809" spans="1:11" x14ac:dyDescent="0.25">
      <c r="A809">
        <v>15006</v>
      </c>
      <c r="B809" t="s">
        <v>1669</v>
      </c>
      <c r="C809" t="s">
        <v>46</v>
      </c>
      <c r="E809" t="s">
        <v>1187</v>
      </c>
      <c r="F809">
        <v>15</v>
      </c>
      <c r="G809">
        <v>1996</v>
      </c>
      <c r="H809">
        <v>67</v>
      </c>
      <c r="I809">
        <v>24.25</v>
      </c>
      <c r="J809">
        <v>2292.5340000000001</v>
      </c>
      <c r="K809">
        <v>1291</v>
      </c>
    </row>
    <row r="810" spans="1:11" x14ac:dyDescent="0.25">
      <c r="A810">
        <v>16005</v>
      </c>
      <c r="B810" t="s">
        <v>1669</v>
      </c>
      <c r="C810" t="s">
        <v>54</v>
      </c>
      <c r="E810" t="s">
        <v>1187</v>
      </c>
      <c r="F810">
        <v>15</v>
      </c>
      <c r="G810">
        <v>1991</v>
      </c>
      <c r="H810">
        <v>215</v>
      </c>
      <c r="I810">
        <v>12.156000000000001</v>
      </c>
      <c r="J810">
        <v>946.47900000000004</v>
      </c>
      <c r="K810">
        <v>407</v>
      </c>
    </row>
    <row r="811" spans="1:11" x14ac:dyDescent="0.25">
      <c r="A811">
        <v>15062</v>
      </c>
      <c r="B811" t="s">
        <v>1670</v>
      </c>
      <c r="C811" t="s">
        <v>46</v>
      </c>
      <c r="E811" t="s">
        <v>1131</v>
      </c>
      <c r="F811">
        <v>7</v>
      </c>
      <c r="G811">
        <v>1988</v>
      </c>
      <c r="H811">
        <v>873</v>
      </c>
      <c r="I811">
        <v>0</v>
      </c>
      <c r="J811">
        <v>0</v>
      </c>
      <c r="K811">
        <v>0</v>
      </c>
    </row>
    <row r="812" spans="1:11" x14ac:dyDescent="0.25">
      <c r="A812">
        <v>12024</v>
      </c>
      <c r="B812" t="s">
        <v>600</v>
      </c>
      <c r="C812" t="s">
        <v>46</v>
      </c>
      <c r="E812" t="s">
        <v>1134</v>
      </c>
      <c r="F812">
        <v>69</v>
      </c>
      <c r="G812">
        <v>1937</v>
      </c>
      <c r="H812">
        <v>663</v>
      </c>
      <c r="I812">
        <v>0.375</v>
      </c>
      <c r="J812">
        <v>10.965999999999999</v>
      </c>
      <c r="K812">
        <v>0</v>
      </c>
    </row>
    <row r="813" spans="1:11" x14ac:dyDescent="0.25">
      <c r="A813">
        <v>15067</v>
      </c>
      <c r="B813" t="s">
        <v>1671</v>
      </c>
      <c r="C813" t="s">
        <v>1672</v>
      </c>
      <c r="E813" t="s">
        <v>1506</v>
      </c>
      <c r="F813">
        <v>77</v>
      </c>
      <c r="G813">
        <v>1978</v>
      </c>
      <c r="H813">
        <v>124</v>
      </c>
      <c r="I813">
        <v>26.251000000000001</v>
      </c>
      <c r="J813">
        <v>1694.202</v>
      </c>
      <c r="K813">
        <v>716</v>
      </c>
    </row>
    <row r="814" spans="1:11" x14ac:dyDescent="0.25">
      <c r="A814">
        <v>15019</v>
      </c>
      <c r="B814" t="s">
        <v>1673</v>
      </c>
      <c r="C814" t="s">
        <v>1674</v>
      </c>
      <c r="D814" t="s">
        <v>1053</v>
      </c>
      <c r="E814" t="s">
        <v>1119</v>
      </c>
      <c r="F814">
        <v>54</v>
      </c>
      <c r="H814">
        <v>363</v>
      </c>
      <c r="I814">
        <v>5.9530000000000003</v>
      </c>
      <c r="J814">
        <v>381.35500000000002</v>
      </c>
      <c r="K814">
        <v>118</v>
      </c>
    </row>
    <row r="815" spans="1:11" x14ac:dyDescent="0.25">
      <c r="A815">
        <v>15078</v>
      </c>
      <c r="B815" t="s">
        <v>1675</v>
      </c>
      <c r="C815" t="s">
        <v>111</v>
      </c>
      <c r="E815" t="s">
        <v>1136</v>
      </c>
      <c r="F815">
        <v>13</v>
      </c>
      <c r="G815">
        <v>1983</v>
      </c>
      <c r="H815">
        <v>156</v>
      </c>
      <c r="I815">
        <v>18.501000000000001</v>
      </c>
      <c r="J815">
        <v>1380.3140000000001</v>
      </c>
      <c r="K815">
        <v>669</v>
      </c>
    </row>
    <row r="816" spans="1:11" x14ac:dyDescent="0.25">
      <c r="A816">
        <v>16045</v>
      </c>
      <c r="B816" t="s">
        <v>1676</v>
      </c>
      <c r="C816" t="s">
        <v>545</v>
      </c>
      <c r="E816" t="s">
        <v>1134</v>
      </c>
      <c r="F816">
        <v>69</v>
      </c>
      <c r="G816">
        <v>1972</v>
      </c>
      <c r="H816">
        <v>874</v>
      </c>
      <c r="I816">
        <v>0</v>
      </c>
      <c r="J816">
        <v>0</v>
      </c>
      <c r="K816">
        <v>0</v>
      </c>
    </row>
    <row r="817" spans="1:11" x14ac:dyDescent="0.25">
      <c r="A817">
        <v>16046</v>
      </c>
      <c r="B817" t="s">
        <v>1677</v>
      </c>
      <c r="C817" t="s">
        <v>642</v>
      </c>
      <c r="E817" t="s">
        <v>1134</v>
      </c>
      <c r="F817">
        <v>69</v>
      </c>
      <c r="G817">
        <v>1949</v>
      </c>
      <c r="H817">
        <v>669</v>
      </c>
      <c r="I817">
        <v>0.125</v>
      </c>
      <c r="J817">
        <v>3.6549999999999998</v>
      </c>
      <c r="K817">
        <v>0</v>
      </c>
    </row>
    <row r="818" spans="1:11" x14ac:dyDescent="0.25">
      <c r="A818">
        <v>11035</v>
      </c>
      <c r="B818" t="s">
        <v>601</v>
      </c>
      <c r="C818" t="s">
        <v>602</v>
      </c>
      <c r="E818" t="s">
        <v>1134</v>
      </c>
      <c r="F818">
        <v>69</v>
      </c>
      <c r="G818">
        <v>1959</v>
      </c>
      <c r="H818">
        <v>875</v>
      </c>
      <c r="I818">
        <v>0</v>
      </c>
      <c r="J818">
        <v>0</v>
      </c>
      <c r="K818">
        <v>0</v>
      </c>
    </row>
    <row r="819" spans="1:11" x14ac:dyDescent="0.25">
      <c r="A819">
        <v>10041</v>
      </c>
      <c r="B819" t="s">
        <v>603</v>
      </c>
      <c r="C819" t="s">
        <v>457</v>
      </c>
      <c r="E819" t="s">
        <v>168</v>
      </c>
      <c r="F819">
        <v>68</v>
      </c>
      <c r="G819">
        <v>1963</v>
      </c>
      <c r="H819">
        <v>426</v>
      </c>
      <c r="I819">
        <v>5.5629999999999997</v>
      </c>
      <c r="J819">
        <v>246.298</v>
      </c>
      <c r="K819">
        <v>0</v>
      </c>
    </row>
    <row r="820" spans="1:11" x14ac:dyDescent="0.25">
      <c r="A820">
        <v>13024</v>
      </c>
      <c r="B820" t="s">
        <v>604</v>
      </c>
      <c r="C820" t="s">
        <v>256</v>
      </c>
      <c r="D820" t="s">
        <v>1053</v>
      </c>
      <c r="E820" t="s">
        <v>1175</v>
      </c>
      <c r="F820">
        <v>75</v>
      </c>
      <c r="G820">
        <v>1985</v>
      </c>
      <c r="H820">
        <v>876</v>
      </c>
      <c r="I820">
        <v>0</v>
      </c>
      <c r="J820">
        <v>0</v>
      </c>
      <c r="K820">
        <v>0</v>
      </c>
    </row>
    <row r="821" spans="1:11" x14ac:dyDescent="0.25">
      <c r="A821">
        <v>16135</v>
      </c>
      <c r="B821" t="s">
        <v>1745</v>
      </c>
      <c r="C821" t="s">
        <v>1462</v>
      </c>
      <c r="D821" t="s">
        <v>139</v>
      </c>
      <c r="E821" t="s">
        <v>1164</v>
      </c>
      <c r="F821">
        <v>2</v>
      </c>
      <c r="G821">
        <v>2007</v>
      </c>
      <c r="H821">
        <v>878</v>
      </c>
      <c r="I821">
        <v>0</v>
      </c>
      <c r="J821">
        <v>0</v>
      </c>
      <c r="K821">
        <v>0</v>
      </c>
    </row>
    <row r="822" spans="1:11" x14ac:dyDescent="0.25">
      <c r="A822">
        <v>16134</v>
      </c>
      <c r="B822" t="s">
        <v>1745</v>
      </c>
      <c r="C822" t="s">
        <v>1188</v>
      </c>
      <c r="D822" t="s">
        <v>139</v>
      </c>
      <c r="E822" t="s">
        <v>1164</v>
      </c>
      <c r="F822">
        <v>2</v>
      </c>
      <c r="G822">
        <v>2004</v>
      </c>
      <c r="H822">
        <v>877</v>
      </c>
      <c r="I822">
        <v>0</v>
      </c>
      <c r="J822">
        <v>0</v>
      </c>
      <c r="K822">
        <v>0</v>
      </c>
    </row>
    <row r="823" spans="1:11" x14ac:dyDescent="0.25">
      <c r="A823">
        <v>12021</v>
      </c>
      <c r="B823" t="s">
        <v>605</v>
      </c>
      <c r="C823" t="s">
        <v>514</v>
      </c>
      <c r="D823" t="s">
        <v>1053</v>
      </c>
      <c r="E823" t="s">
        <v>1116</v>
      </c>
      <c r="F823">
        <v>20</v>
      </c>
      <c r="G823">
        <v>1960</v>
      </c>
      <c r="H823">
        <v>381</v>
      </c>
      <c r="I823">
        <v>8.1890000000000001</v>
      </c>
      <c r="J823">
        <v>319.55399999999997</v>
      </c>
      <c r="K823">
        <v>0</v>
      </c>
    </row>
    <row r="824" spans="1:11" x14ac:dyDescent="0.25">
      <c r="A824">
        <v>10175</v>
      </c>
      <c r="B824" t="s">
        <v>606</v>
      </c>
      <c r="C824" t="s">
        <v>39</v>
      </c>
      <c r="E824" t="s">
        <v>1116</v>
      </c>
      <c r="F824">
        <v>20</v>
      </c>
      <c r="G824">
        <v>1979</v>
      </c>
      <c r="H824">
        <v>192</v>
      </c>
      <c r="I824">
        <v>21.469000000000001</v>
      </c>
      <c r="J824">
        <v>1116.7660000000001</v>
      </c>
      <c r="K824">
        <v>279</v>
      </c>
    </row>
    <row r="825" spans="1:11" x14ac:dyDescent="0.25">
      <c r="A825">
        <v>15058</v>
      </c>
      <c r="B825" t="s">
        <v>606</v>
      </c>
      <c r="C825" t="s">
        <v>1678</v>
      </c>
      <c r="D825" t="s">
        <v>1048</v>
      </c>
      <c r="E825" t="s">
        <v>1116</v>
      </c>
      <c r="F825">
        <v>20</v>
      </c>
      <c r="G825">
        <v>2004</v>
      </c>
      <c r="H825">
        <v>230</v>
      </c>
      <c r="I825">
        <v>15.938000000000001</v>
      </c>
      <c r="J825">
        <v>836.18299999999999</v>
      </c>
      <c r="K825">
        <v>189</v>
      </c>
    </row>
    <row r="826" spans="1:11" x14ac:dyDescent="0.25">
      <c r="A826">
        <v>10098</v>
      </c>
      <c r="B826" t="s">
        <v>607</v>
      </c>
      <c r="C826" t="s">
        <v>608</v>
      </c>
      <c r="E826" t="s">
        <v>1134</v>
      </c>
      <c r="F826">
        <v>69</v>
      </c>
      <c r="G826">
        <v>1959</v>
      </c>
      <c r="H826">
        <v>879</v>
      </c>
      <c r="I826">
        <v>0</v>
      </c>
      <c r="J826">
        <v>0</v>
      </c>
      <c r="K826">
        <v>0</v>
      </c>
    </row>
    <row r="827" spans="1:11" x14ac:dyDescent="0.25">
      <c r="A827">
        <v>96127</v>
      </c>
      <c r="B827" t="s">
        <v>609</v>
      </c>
      <c r="C827" t="s">
        <v>105</v>
      </c>
      <c r="E827" t="s">
        <v>1131</v>
      </c>
      <c r="F827">
        <v>7</v>
      </c>
      <c r="G827">
        <v>1973</v>
      </c>
      <c r="H827">
        <v>657</v>
      </c>
      <c r="I827">
        <v>0.81299999999999994</v>
      </c>
      <c r="J827">
        <v>18.507999999999999</v>
      </c>
      <c r="K827">
        <v>0</v>
      </c>
    </row>
    <row r="828" spans="1:11" x14ac:dyDescent="0.25">
      <c r="A828">
        <v>28036</v>
      </c>
      <c r="B828" t="s">
        <v>610</v>
      </c>
      <c r="C828" t="s">
        <v>223</v>
      </c>
      <c r="E828" t="s">
        <v>680</v>
      </c>
      <c r="F828">
        <v>19</v>
      </c>
      <c r="G828">
        <v>1943</v>
      </c>
      <c r="H828">
        <v>388</v>
      </c>
      <c r="I828">
        <v>3.5939999999999999</v>
      </c>
      <c r="J828">
        <v>296.16899999999998</v>
      </c>
      <c r="K828">
        <v>142</v>
      </c>
    </row>
    <row r="829" spans="1:11" x14ac:dyDescent="0.25">
      <c r="A829">
        <v>14090</v>
      </c>
      <c r="B829" t="s">
        <v>1679</v>
      </c>
      <c r="C829" t="s">
        <v>160</v>
      </c>
      <c r="E829" t="s">
        <v>1437</v>
      </c>
      <c r="F829">
        <v>79</v>
      </c>
      <c r="G829">
        <v>1987</v>
      </c>
      <c r="H829">
        <v>452</v>
      </c>
      <c r="I829">
        <v>1.625</v>
      </c>
      <c r="J829">
        <v>206.76</v>
      </c>
      <c r="K829">
        <v>129</v>
      </c>
    </row>
    <row r="830" spans="1:11" x14ac:dyDescent="0.25">
      <c r="A830">
        <v>12083</v>
      </c>
      <c r="B830" t="s">
        <v>1206</v>
      </c>
      <c r="C830" t="s">
        <v>228</v>
      </c>
      <c r="E830" t="s">
        <v>58</v>
      </c>
      <c r="F830">
        <v>73</v>
      </c>
      <c r="G830">
        <v>1954</v>
      </c>
      <c r="H830">
        <v>150</v>
      </c>
      <c r="I830">
        <v>21.033000000000001</v>
      </c>
      <c r="J830">
        <v>1435.6</v>
      </c>
      <c r="K830">
        <v>665</v>
      </c>
    </row>
    <row r="831" spans="1:11" x14ac:dyDescent="0.25">
      <c r="A831">
        <v>21922</v>
      </c>
      <c r="B831" t="s">
        <v>611</v>
      </c>
      <c r="C831" t="s">
        <v>73</v>
      </c>
      <c r="E831" t="s">
        <v>706</v>
      </c>
      <c r="F831">
        <v>39</v>
      </c>
      <c r="G831">
        <v>1959</v>
      </c>
      <c r="H831">
        <v>880</v>
      </c>
      <c r="I831">
        <v>0</v>
      </c>
      <c r="J831">
        <v>0</v>
      </c>
      <c r="K831">
        <v>0</v>
      </c>
    </row>
    <row r="832" spans="1:11" x14ac:dyDescent="0.25">
      <c r="A832">
        <v>21923</v>
      </c>
      <c r="B832" t="s">
        <v>612</v>
      </c>
      <c r="C832" t="s">
        <v>42</v>
      </c>
      <c r="D832" t="s">
        <v>1053</v>
      </c>
      <c r="E832" t="s">
        <v>706</v>
      </c>
      <c r="F832">
        <v>39</v>
      </c>
      <c r="G832">
        <v>1961</v>
      </c>
      <c r="H832">
        <v>881</v>
      </c>
      <c r="I832">
        <v>0</v>
      </c>
      <c r="J832">
        <v>0</v>
      </c>
      <c r="K832">
        <v>0</v>
      </c>
    </row>
    <row r="833" spans="1:11" x14ac:dyDescent="0.25">
      <c r="A833">
        <v>21924</v>
      </c>
      <c r="B833" t="s">
        <v>612</v>
      </c>
      <c r="C833" t="s">
        <v>1680</v>
      </c>
      <c r="D833" t="s">
        <v>1053</v>
      </c>
      <c r="E833" t="s">
        <v>706</v>
      </c>
      <c r="F833">
        <v>39</v>
      </c>
      <c r="G833">
        <v>1987</v>
      </c>
      <c r="H833">
        <v>882</v>
      </c>
      <c r="I833">
        <v>0</v>
      </c>
      <c r="J833">
        <v>0</v>
      </c>
      <c r="K833">
        <v>0</v>
      </c>
    </row>
    <row r="834" spans="1:11" x14ac:dyDescent="0.25">
      <c r="A834">
        <v>21925</v>
      </c>
      <c r="B834" t="s">
        <v>612</v>
      </c>
      <c r="C834" t="s">
        <v>483</v>
      </c>
      <c r="D834" t="s">
        <v>1053</v>
      </c>
      <c r="E834" t="s">
        <v>706</v>
      </c>
      <c r="F834">
        <v>39</v>
      </c>
      <c r="G834">
        <v>1989</v>
      </c>
      <c r="H834">
        <v>883</v>
      </c>
      <c r="I834">
        <v>0</v>
      </c>
      <c r="J834">
        <v>0</v>
      </c>
      <c r="K834">
        <v>0</v>
      </c>
    </row>
    <row r="835" spans="1:11" x14ac:dyDescent="0.25">
      <c r="A835">
        <v>13034</v>
      </c>
      <c r="B835" t="s">
        <v>1207</v>
      </c>
      <c r="C835" t="s">
        <v>428</v>
      </c>
      <c r="D835" t="s">
        <v>1053</v>
      </c>
      <c r="E835" t="s">
        <v>1169</v>
      </c>
      <c r="F835">
        <v>76</v>
      </c>
      <c r="G835">
        <v>1953</v>
      </c>
      <c r="H835">
        <v>884</v>
      </c>
      <c r="I835">
        <v>0</v>
      </c>
      <c r="J835">
        <v>0</v>
      </c>
      <c r="K835">
        <v>0</v>
      </c>
    </row>
    <row r="836" spans="1:11" x14ac:dyDescent="0.25">
      <c r="A836">
        <v>10094</v>
      </c>
      <c r="B836" t="s">
        <v>613</v>
      </c>
      <c r="C836" t="s">
        <v>166</v>
      </c>
      <c r="E836" t="s">
        <v>1134</v>
      </c>
      <c r="F836">
        <v>69</v>
      </c>
      <c r="G836">
        <v>1949</v>
      </c>
      <c r="H836">
        <v>605</v>
      </c>
      <c r="I836">
        <v>1.2190000000000001</v>
      </c>
      <c r="J836">
        <v>41.999000000000002</v>
      </c>
      <c r="K836">
        <v>0</v>
      </c>
    </row>
    <row r="837" spans="1:11" x14ac:dyDescent="0.25">
      <c r="A837">
        <v>14066</v>
      </c>
      <c r="B837" t="s">
        <v>1681</v>
      </c>
      <c r="C837" t="s">
        <v>24</v>
      </c>
      <c r="E837" t="s">
        <v>1164</v>
      </c>
      <c r="F837">
        <v>2</v>
      </c>
      <c r="G837">
        <v>1972</v>
      </c>
      <c r="H837">
        <v>542</v>
      </c>
      <c r="I837">
        <v>4.5</v>
      </c>
      <c r="J837">
        <v>82.176000000000002</v>
      </c>
      <c r="K837">
        <v>0</v>
      </c>
    </row>
    <row r="838" spans="1:11" x14ac:dyDescent="0.25">
      <c r="A838">
        <v>11037</v>
      </c>
      <c r="B838" t="s">
        <v>614</v>
      </c>
      <c r="C838" t="s">
        <v>615</v>
      </c>
      <c r="E838" t="s">
        <v>1147</v>
      </c>
      <c r="F838">
        <v>1</v>
      </c>
      <c r="G838">
        <v>1983</v>
      </c>
      <c r="H838">
        <v>82</v>
      </c>
      <c r="I838">
        <v>34.125</v>
      </c>
      <c r="J838">
        <v>2104.5549999999998</v>
      </c>
      <c r="K838">
        <v>656</v>
      </c>
    </row>
    <row r="839" spans="1:11" x14ac:dyDescent="0.25">
      <c r="A839">
        <v>26041</v>
      </c>
      <c r="B839" t="s">
        <v>616</v>
      </c>
      <c r="C839" t="s">
        <v>316</v>
      </c>
      <c r="D839" t="s">
        <v>1053</v>
      </c>
      <c r="E839" t="s">
        <v>1174</v>
      </c>
      <c r="F839">
        <v>28</v>
      </c>
      <c r="G839">
        <v>1953</v>
      </c>
      <c r="H839">
        <v>652</v>
      </c>
      <c r="I839">
        <v>0.68799999999999994</v>
      </c>
      <c r="J839">
        <v>21.559000000000001</v>
      </c>
      <c r="K839">
        <v>0</v>
      </c>
    </row>
    <row r="840" spans="1:11" x14ac:dyDescent="0.25">
      <c r="A840">
        <v>20689</v>
      </c>
      <c r="B840" t="s">
        <v>617</v>
      </c>
      <c r="C840" t="s">
        <v>80</v>
      </c>
      <c r="E840" t="s">
        <v>1086</v>
      </c>
      <c r="F840">
        <v>22</v>
      </c>
      <c r="G840">
        <v>1959</v>
      </c>
      <c r="H840">
        <v>885</v>
      </c>
      <c r="I840">
        <v>0</v>
      </c>
      <c r="J840">
        <v>0</v>
      </c>
      <c r="K840">
        <v>0</v>
      </c>
    </row>
    <row r="841" spans="1:11" x14ac:dyDescent="0.25">
      <c r="A841">
        <v>14094</v>
      </c>
      <c r="B841" t="s">
        <v>1682</v>
      </c>
      <c r="C841" t="s">
        <v>80</v>
      </c>
      <c r="E841" t="s">
        <v>1094</v>
      </c>
      <c r="F841">
        <v>43</v>
      </c>
      <c r="G841">
        <v>1954</v>
      </c>
      <c r="H841">
        <v>48</v>
      </c>
      <c r="I841">
        <v>33.250999999999998</v>
      </c>
      <c r="J841">
        <v>2660.4839999999999</v>
      </c>
      <c r="K841">
        <v>1296</v>
      </c>
    </row>
    <row r="842" spans="1:11" x14ac:dyDescent="0.25">
      <c r="A842">
        <v>23060</v>
      </c>
      <c r="B842" t="s">
        <v>618</v>
      </c>
      <c r="C842" t="s">
        <v>67</v>
      </c>
      <c r="E842" t="s">
        <v>1122</v>
      </c>
      <c r="F842">
        <v>63</v>
      </c>
      <c r="G842">
        <v>1954</v>
      </c>
      <c r="H842">
        <v>58</v>
      </c>
      <c r="I842">
        <v>31.5</v>
      </c>
      <c r="J842">
        <v>2422.8229999999999</v>
      </c>
      <c r="K842">
        <v>1114</v>
      </c>
    </row>
    <row r="843" spans="1:11" x14ac:dyDescent="0.25">
      <c r="A843">
        <v>29043</v>
      </c>
      <c r="B843" t="s">
        <v>1683</v>
      </c>
      <c r="C843" t="s">
        <v>166</v>
      </c>
      <c r="E843" t="s">
        <v>1164</v>
      </c>
      <c r="F843">
        <v>2</v>
      </c>
      <c r="G843">
        <v>1953</v>
      </c>
      <c r="H843">
        <v>886</v>
      </c>
      <c r="I843">
        <v>0</v>
      </c>
      <c r="J843">
        <v>0</v>
      </c>
      <c r="K843">
        <v>0</v>
      </c>
    </row>
    <row r="844" spans="1:11" x14ac:dyDescent="0.25">
      <c r="A844">
        <v>16004</v>
      </c>
      <c r="B844" t="s">
        <v>1684</v>
      </c>
      <c r="C844" t="s">
        <v>1685</v>
      </c>
      <c r="D844" t="s">
        <v>1048</v>
      </c>
      <c r="E844" t="s">
        <v>1122</v>
      </c>
      <c r="F844">
        <v>63</v>
      </c>
      <c r="G844">
        <v>2003</v>
      </c>
      <c r="H844">
        <v>612</v>
      </c>
      <c r="I844">
        <v>1.1879999999999999</v>
      </c>
      <c r="J844">
        <v>40.280999999999999</v>
      </c>
      <c r="K844">
        <v>0</v>
      </c>
    </row>
    <row r="845" spans="1:11" x14ac:dyDescent="0.25">
      <c r="A845">
        <v>15048</v>
      </c>
      <c r="B845" t="s">
        <v>619</v>
      </c>
      <c r="C845" t="s">
        <v>72</v>
      </c>
      <c r="D845" t="s">
        <v>1048</v>
      </c>
      <c r="E845" t="s">
        <v>1447</v>
      </c>
      <c r="F845">
        <v>6</v>
      </c>
      <c r="G845">
        <v>2001</v>
      </c>
      <c r="H845">
        <v>887</v>
      </c>
      <c r="I845">
        <v>0</v>
      </c>
      <c r="J845">
        <v>0</v>
      </c>
      <c r="K845">
        <v>0</v>
      </c>
    </row>
    <row r="846" spans="1:11" x14ac:dyDescent="0.25">
      <c r="A846">
        <v>97294</v>
      </c>
      <c r="B846" t="s">
        <v>619</v>
      </c>
      <c r="C846" t="s">
        <v>54</v>
      </c>
      <c r="E846" t="s">
        <v>1087</v>
      </c>
      <c r="F846">
        <v>6</v>
      </c>
      <c r="G846">
        <v>1968</v>
      </c>
      <c r="H846">
        <v>559</v>
      </c>
      <c r="I846">
        <v>2.0779999999999998</v>
      </c>
      <c r="J846">
        <v>69.894000000000005</v>
      </c>
      <c r="K846">
        <v>0</v>
      </c>
    </row>
    <row r="847" spans="1:11" x14ac:dyDescent="0.25">
      <c r="A847">
        <v>15088</v>
      </c>
      <c r="B847" t="s">
        <v>1686</v>
      </c>
      <c r="C847" t="s">
        <v>1687</v>
      </c>
      <c r="D847" t="s">
        <v>1053</v>
      </c>
      <c r="E847" t="s">
        <v>1176</v>
      </c>
      <c r="F847">
        <v>42</v>
      </c>
      <c r="G847">
        <v>1981</v>
      </c>
      <c r="H847">
        <v>409</v>
      </c>
      <c r="I847">
        <v>5.9690000000000003</v>
      </c>
      <c r="J847">
        <v>261.233</v>
      </c>
      <c r="K847">
        <v>43</v>
      </c>
    </row>
    <row r="848" spans="1:11" x14ac:dyDescent="0.25">
      <c r="A848">
        <v>96117</v>
      </c>
      <c r="B848" t="s">
        <v>620</v>
      </c>
      <c r="C848" t="s">
        <v>32</v>
      </c>
      <c r="E848" t="s">
        <v>1131</v>
      </c>
      <c r="F848">
        <v>7</v>
      </c>
      <c r="G848">
        <v>1961</v>
      </c>
      <c r="H848">
        <v>888</v>
      </c>
      <c r="I848">
        <v>0</v>
      </c>
      <c r="J848">
        <v>0</v>
      </c>
      <c r="K848">
        <v>0</v>
      </c>
    </row>
    <row r="849" spans="1:11" x14ac:dyDescent="0.25">
      <c r="A849">
        <v>13047</v>
      </c>
      <c r="B849" t="s">
        <v>1278</v>
      </c>
      <c r="C849" t="s">
        <v>306</v>
      </c>
      <c r="E849" t="s">
        <v>1174</v>
      </c>
      <c r="F849">
        <v>28</v>
      </c>
      <c r="G849">
        <v>1957</v>
      </c>
      <c r="H849">
        <v>373</v>
      </c>
      <c r="I849">
        <v>9.907</v>
      </c>
      <c r="J849">
        <v>348.79399999999998</v>
      </c>
      <c r="K849">
        <v>0</v>
      </c>
    </row>
    <row r="850" spans="1:11" x14ac:dyDescent="0.25">
      <c r="A850">
        <v>11031</v>
      </c>
      <c r="B850" t="s">
        <v>621</v>
      </c>
      <c r="C850" t="s">
        <v>46</v>
      </c>
      <c r="E850" t="s">
        <v>1164</v>
      </c>
      <c r="F850">
        <v>2</v>
      </c>
      <c r="G850">
        <v>1966</v>
      </c>
      <c r="H850">
        <v>208</v>
      </c>
      <c r="I850">
        <v>9.9689999999999994</v>
      </c>
      <c r="J850">
        <v>983.553</v>
      </c>
      <c r="K850">
        <v>516</v>
      </c>
    </row>
    <row r="851" spans="1:11" x14ac:dyDescent="0.25">
      <c r="A851">
        <v>21861</v>
      </c>
      <c r="B851" t="s">
        <v>1279</v>
      </c>
      <c r="C851" t="s">
        <v>54</v>
      </c>
      <c r="E851" t="s">
        <v>696</v>
      </c>
      <c r="F851">
        <v>33</v>
      </c>
      <c r="G851">
        <v>1962</v>
      </c>
      <c r="H851">
        <v>525</v>
      </c>
      <c r="I851">
        <v>2.6880000000000002</v>
      </c>
      <c r="J851">
        <v>100.944</v>
      </c>
      <c r="K851">
        <v>0</v>
      </c>
    </row>
    <row r="852" spans="1:11" x14ac:dyDescent="0.25">
      <c r="A852">
        <v>22012</v>
      </c>
      <c r="B852" t="s">
        <v>622</v>
      </c>
      <c r="C852" t="s">
        <v>24</v>
      </c>
      <c r="E852" t="s">
        <v>1094</v>
      </c>
      <c r="F852">
        <v>43</v>
      </c>
      <c r="G852">
        <v>1980</v>
      </c>
      <c r="H852">
        <v>75</v>
      </c>
      <c r="I852">
        <v>28.687999999999999</v>
      </c>
      <c r="J852">
        <v>2217.1460000000002</v>
      </c>
      <c r="K852">
        <v>943</v>
      </c>
    </row>
    <row r="853" spans="1:11" x14ac:dyDescent="0.25">
      <c r="A853">
        <v>24281</v>
      </c>
      <c r="B853" t="s">
        <v>622</v>
      </c>
      <c r="C853" t="s">
        <v>24</v>
      </c>
      <c r="E853" t="s">
        <v>1095</v>
      </c>
      <c r="F853">
        <v>52</v>
      </c>
      <c r="G853">
        <v>1969</v>
      </c>
      <c r="H853">
        <v>260</v>
      </c>
      <c r="I853">
        <v>10.968999999999999</v>
      </c>
      <c r="J853">
        <v>672.14099999999996</v>
      </c>
      <c r="K853">
        <v>291</v>
      </c>
    </row>
    <row r="854" spans="1:11" x14ac:dyDescent="0.25">
      <c r="A854">
        <v>14052</v>
      </c>
      <c r="B854" t="s">
        <v>1688</v>
      </c>
      <c r="C854" t="s">
        <v>122</v>
      </c>
      <c r="D854" t="s">
        <v>1053</v>
      </c>
      <c r="E854" t="s">
        <v>1506</v>
      </c>
      <c r="F854">
        <v>77</v>
      </c>
      <c r="G854">
        <v>1970</v>
      </c>
      <c r="H854">
        <v>140</v>
      </c>
      <c r="I854">
        <v>26.251999999999999</v>
      </c>
      <c r="J854">
        <v>1560.04</v>
      </c>
      <c r="K854">
        <v>582</v>
      </c>
    </row>
    <row r="855" spans="1:11" x14ac:dyDescent="0.25">
      <c r="A855">
        <v>14069</v>
      </c>
      <c r="B855" t="s">
        <v>1689</v>
      </c>
      <c r="C855" t="s">
        <v>120</v>
      </c>
      <c r="D855" t="s">
        <v>1053</v>
      </c>
      <c r="E855" t="s">
        <v>1506</v>
      </c>
      <c r="F855">
        <v>77</v>
      </c>
      <c r="G855">
        <v>1960</v>
      </c>
      <c r="H855">
        <v>889</v>
      </c>
      <c r="I855">
        <v>0</v>
      </c>
      <c r="J855">
        <v>0</v>
      </c>
      <c r="K855">
        <v>0</v>
      </c>
    </row>
    <row r="856" spans="1:11" x14ac:dyDescent="0.25">
      <c r="A856">
        <v>21795</v>
      </c>
      <c r="B856" t="s">
        <v>1690</v>
      </c>
      <c r="C856" t="s">
        <v>1691</v>
      </c>
      <c r="E856" t="s">
        <v>1123</v>
      </c>
      <c r="F856">
        <v>27</v>
      </c>
      <c r="G856">
        <v>1956</v>
      </c>
      <c r="H856">
        <v>130</v>
      </c>
      <c r="I856">
        <v>23.187000000000001</v>
      </c>
      <c r="J856">
        <v>1641.502</v>
      </c>
      <c r="K856">
        <v>686</v>
      </c>
    </row>
    <row r="857" spans="1:11" x14ac:dyDescent="0.25">
      <c r="A857">
        <v>16127</v>
      </c>
      <c r="B857" t="s">
        <v>1746</v>
      </c>
      <c r="C857" t="s">
        <v>478</v>
      </c>
      <c r="D857" t="s">
        <v>139</v>
      </c>
      <c r="E857" t="s">
        <v>1164</v>
      </c>
      <c r="F857">
        <v>2</v>
      </c>
      <c r="G857">
        <v>2008</v>
      </c>
      <c r="H857">
        <v>891</v>
      </c>
      <c r="I857">
        <v>0</v>
      </c>
      <c r="J857">
        <v>0</v>
      </c>
      <c r="K857">
        <v>0</v>
      </c>
    </row>
    <row r="858" spans="1:11" x14ac:dyDescent="0.25">
      <c r="A858">
        <v>16126</v>
      </c>
      <c r="B858" t="s">
        <v>1746</v>
      </c>
      <c r="C858" t="s">
        <v>36</v>
      </c>
      <c r="D858" t="s">
        <v>139</v>
      </c>
      <c r="E858" t="s">
        <v>1164</v>
      </c>
      <c r="F858">
        <v>2</v>
      </c>
      <c r="G858">
        <v>2010</v>
      </c>
      <c r="H858">
        <v>890</v>
      </c>
      <c r="I858">
        <v>0</v>
      </c>
      <c r="J858">
        <v>0</v>
      </c>
      <c r="K858">
        <v>0</v>
      </c>
    </row>
    <row r="859" spans="1:11" x14ac:dyDescent="0.25">
      <c r="A859">
        <v>13059</v>
      </c>
      <c r="B859" t="s">
        <v>1280</v>
      </c>
      <c r="C859" t="s">
        <v>402</v>
      </c>
      <c r="E859" t="s">
        <v>1095</v>
      </c>
      <c r="F859">
        <v>52</v>
      </c>
      <c r="G859">
        <v>1961</v>
      </c>
      <c r="H859">
        <v>629</v>
      </c>
      <c r="I859">
        <v>0.93799999999999994</v>
      </c>
      <c r="J859">
        <v>32.18</v>
      </c>
      <c r="K859">
        <v>0</v>
      </c>
    </row>
    <row r="860" spans="1:11" x14ac:dyDescent="0.25">
      <c r="A860">
        <v>14054</v>
      </c>
      <c r="B860" t="s">
        <v>1692</v>
      </c>
      <c r="C860" t="s">
        <v>64</v>
      </c>
      <c r="E860" t="s">
        <v>1131</v>
      </c>
      <c r="F860">
        <v>7</v>
      </c>
      <c r="G860">
        <v>1962</v>
      </c>
      <c r="H860">
        <v>553</v>
      </c>
      <c r="I860">
        <v>3.25</v>
      </c>
      <c r="J860">
        <v>74.031999999999996</v>
      </c>
      <c r="K860">
        <v>0</v>
      </c>
    </row>
    <row r="861" spans="1:11" x14ac:dyDescent="0.25">
      <c r="A861">
        <v>98439</v>
      </c>
      <c r="B861" t="s">
        <v>1693</v>
      </c>
      <c r="C861" t="s">
        <v>30</v>
      </c>
      <c r="E861" t="s">
        <v>1103</v>
      </c>
      <c r="F861">
        <v>48</v>
      </c>
      <c r="G861">
        <v>1978</v>
      </c>
      <c r="H861">
        <v>892</v>
      </c>
      <c r="I861">
        <v>0</v>
      </c>
      <c r="J861">
        <v>0</v>
      </c>
      <c r="K861">
        <v>0</v>
      </c>
    </row>
    <row r="862" spans="1:11" x14ac:dyDescent="0.25">
      <c r="A862">
        <v>16096</v>
      </c>
      <c r="B862" t="s">
        <v>1694</v>
      </c>
      <c r="C862" t="s">
        <v>1505</v>
      </c>
      <c r="D862" t="s">
        <v>1053</v>
      </c>
      <c r="E862" t="s">
        <v>1441</v>
      </c>
      <c r="F862">
        <v>84</v>
      </c>
      <c r="G862">
        <v>1951</v>
      </c>
      <c r="H862">
        <v>893</v>
      </c>
      <c r="I862">
        <v>0</v>
      </c>
      <c r="J862">
        <v>0</v>
      </c>
      <c r="K862">
        <v>0</v>
      </c>
    </row>
    <row r="863" spans="1:11" x14ac:dyDescent="0.25">
      <c r="A863">
        <v>14058</v>
      </c>
      <c r="B863" t="s">
        <v>1695</v>
      </c>
      <c r="C863" t="s">
        <v>33</v>
      </c>
      <c r="E863" t="s">
        <v>1103</v>
      </c>
      <c r="F863">
        <v>48</v>
      </c>
      <c r="G863">
        <v>1962</v>
      </c>
      <c r="H863">
        <v>664</v>
      </c>
      <c r="I863">
        <v>0.25</v>
      </c>
      <c r="J863">
        <v>10.195</v>
      </c>
      <c r="K863">
        <v>0</v>
      </c>
    </row>
    <row r="864" spans="1:11" x14ac:dyDescent="0.25">
      <c r="A864">
        <v>14059</v>
      </c>
      <c r="B864" t="s">
        <v>1696</v>
      </c>
      <c r="C864" t="s">
        <v>543</v>
      </c>
      <c r="D864" t="s">
        <v>1053</v>
      </c>
      <c r="E864" t="s">
        <v>1103</v>
      </c>
      <c r="F864">
        <v>48</v>
      </c>
      <c r="G864">
        <v>1965</v>
      </c>
      <c r="H864">
        <v>623</v>
      </c>
      <c r="I864">
        <v>0.875</v>
      </c>
      <c r="J864">
        <v>36.420999999999999</v>
      </c>
      <c r="K864">
        <v>0</v>
      </c>
    </row>
    <row r="865" spans="1:11" x14ac:dyDescent="0.25">
      <c r="A865">
        <v>13061</v>
      </c>
      <c r="B865" t="s">
        <v>1281</v>
      </c>
      <c r="C865" t="s">
        <v>316</v>
      </c>
      <c r="D865" t="s">
        <v>1053</v>
      </c>
      <c r="E865" t="s">
        <v>1134</v>
      </c>
      <c r="F865">
        <v>69</v>
      </c>
      <c r="G865">
        <v>1950</v>
      </c>
      <c r="H865">
        <v>175</v>
      </c>
      <c r="I865">
        <v>18.399999999999999</v>
      </c>
      <c r="J865">
        <v>1239.796</v>
      </c>
      <c r="K865">
        <v>489</v>
      </c>
    </row>
    <row r="866" spans="1:11" x14ac:dyDescent="0.25">
      <c r="A866">
        <v>12073</v>
      </c>
      <c r="B866" t="s">
        <v>1208</v>
      </c>
      <c r="C866" t="s">
        <v>1209</v>
      </c>
      <c r="D866" t="s">
        <v>1053</v>
      </c>
      <c r="E866" t="s">
        <v>1170</v>
      </c>
      <c r="F866">
        <v>55</v>
      </c>
      <c r="G866">
        <v>1975</v>
      </c>
      <c r="H866">
        <v>102</v>
      </c>
      <c r="I866">
        <v>24.22</v>
      </c>
      <c r="J866">
        <v>1868.2280000000001</v>
      </c>
      <c r="K866">
        <v>904</v>
      </c>
    </row>
    <row r="867" spans="1:11" x14ac:dyDescent="0.25">
      <c r="A867">
        <v>25075</v>
      </c>
      <c r="B867" t="s">
        <v>623</v>
      </c>
      <c r="C867" t="s">
        <v>32</v>
      </c>
      <c r="E867" t="s">
        <v>1170</v>
      </c>
      <c r="F867">
        <v>55</v>
      </c>
      <c r="G867">
        <v>1958</v>
      </c>
      <c r="H867">
        <v>131</v>
      </c>
      <c r="I867">
        <v>17.751000000000001</v>
      </c>
      <c r="J867">
        <v>1623.0619999999999</v>
      </c>
      <c r="K867">
        <v>857</v>
      </c>
    </row>
    <row r="868" spans="1:11" x14ac:dyDescent="0.25">
      <c r="A868">
        <v>16010</v>
      </c>
      <c r="B868" t="s">
        <v>1697</v>
      </c>
      <c r="C868" t="s">
        <v>182</v>
      </c>
      <c r="D868" t="s">
        <v>1053</v>
      </c>
      <c r="E868" t="s">
        <v>1506</v>
      </c>
      <c r="F868">
        <v>77</v>
      </c>
      <c r="G868">
        <v>1962</v>
      </c>
      <c r="H868">
        <v>209</v>
      </c>
      <c r="I868">
        <v>14.680999999999999</v>
      </c>
      <c r="J868">
        <v>980.70500000000004</v>
      </c>
      <c r="K868">
        <v>354</v>
      </c>
    </row>
    <row r="869" spans="1:11" x14ac:dyDescent="0.25">
      <c r="A869">
        <v>99600</v>
      </c>
      <c r="B869" t="s">
        <v>624</v>
      </c>
      <c r="C869" t="s">
        <v>33</v>
      </c>
      <c r="E869" t="s">
        <v>680</v>
      </c>
      <c r="F869">
        <v>19</v>
      </c>
      <c r="G869">
        <v>1966</v>
      </c>
      <c r="H869">
        <v>97</v>
      </c>
      <c r="I869">
        <v>30.687999999999999</v>
      </c>
      <c r="J869">
        <v>1970.162</v>
      </c>
      <c r="K869">
        <v>673</v>
      </c>
    </row>
    <row r="870" spans="1:11" x14ac:dyDescent="0.25">
      <c r="A870">
        <v>15080</v>
      </c>
      <c r="B870" t="s">
        <v>1698</v>
      </c>
      <c r="C870" t="s">
        <v>276</v>
      </c>
      <c r="E870" t="s">
        <v>1136</v>
      </c>
      <c r="F870">
        <v>13</v>
      </c>
      <c r="G870">
        <v>1983</v>
      </c>
      <c r="H870">
        <v>377</v>
      </c>
      <c r="I870">
        <v>5.125</v>
      </c>
      <c r="J870">
        <v>327.20800000000003</v>
      </c>
      <c r="K870">
        <v>147</v>
      </c>
    </row>
    <row r="871" spans="1:11" x14ac:dyDescent="0.25">
      <c r="A871">
        <v>97297</v>
      </c>
      <c r="B871" t="s">
        <v>625</v>
      </c>
      <c r="C871" t="s">
        <v>46</v>
      </c>
      <c r="E871" t="s">
        <v>678</v>
      </c>
      <c r="F871">
        <v>17</v>
      </c>
      <c r="G871">
        <v>1959</v>
      </c>
      <c r="H871">
        <v>482</v>
      </c>
      <c r="I871">
        <v>1.3129999999999999</v>
      </c>
      <c r="J871">
        <v>160.471</v>
      </c>
      <c r="K871">
        <v>99</v>
      </c>
    </row>
    <row r="872" spans="1:11" x14ac:dyDescent="0.25">
      <c r="A872">
        <v>99537</v>
      </c>
      <c r="B872" t="s">
        <v>625</v>
      </c>
      <c r="C872" t="s">
        <v>39</v>
      </c>
      <c r="E872" t="s">
        <v>678</v>
      </c>
      <c r="F872">
        <v>17</v>
      </c>
      <c r="G872">
        <v>1986</v>
      </c>
      <c r="H872">
        <v>894</v>
      </c>
      <c r="I872">
        <v>0</v>
      </c>
      <c r="J872">
        <v>0</v>
      </c>
      <c r="K872">
        <v>0</v>
      </c>
    </row>
    <row r="873" spans="1:11" x14ac:dyDescent="0.25">
      <c r="A873">
        <v>21813</v>
      </c>
      <c r="B873" t="s">
        <v>626</v>
      </c>
      <c r="C873" t="s">
        <v>18</v>
      </c>
      <c r="D873" t="s">
        <v>1053</v>
      </c>
      <c r="E873" t="s">
        <v>678</v>
      </c>
      <c r="F873">
        <v>17</v>
      </c>
      <c r="G873">
        <v>1988</v>
      </c>
      <c r="H873">
        <v>8</v>
      </c>
      <c r="I873">
        <v>44.25</v>
      </c>
      <c r="J873">
        <v>3911.395</v>
      </c>
      <c r="K873">
        <v>1817</v>
      </c>
    </row>
    <row r="874" spans="1:11" x14ac:dyDescent="0.25">
      <c r="A874">
        <v>98352</v>
      </c>
      <c r="B874" t="s">
        <v>627</v>
      </c>
      <c r="C874" t="s">
        <v>94</v>
      </c>
      <c r="D874" t="s">
        <v>1053</v>
      </c>
      <c r="E874" t="s">
        <v>1147</v>
      </c>
      <c r="F874">
        <v>1</v>
      </c>
      <c r="G874">
        <v>1967</v>
      </c>
      <c r="H874">
        <v>500</v>
      </c>
      <c r="I874">
        <v>3.5630000000000002</v>
      </c>
      <c r="J874">
        <v>134.42599999999999</v>
      </c>
      <c r="K874">
        <v>0</v>
      </c>
    </row>
    <row r="875" spans="1:11" x14ac:dyDescent="0.25">
      <c r="A875">
        <v>13071</v>
      </c>
      <c r="B875" t="s">
        <v>1699</v>
      </c>
      <c r="C875" t="s">
        <v>150</v>
      </c>
      <c r="D875" t="s">
        <v>139</v>
      </c>
      <c r="E875" t="s">
        <v>1147</v>
      </c>
      <c r="F875">
        <v>1</v>
      </c>
      <c r="G875">
        <v>2001</v>
      </c>
      <c r="H875">
        <v>895</v>
      </c>
      <c r="I875">
        <v>0</v>
      </c>
      <c r="J875">
        <v>0</v>
      </c>
      <c r="K875">
        <v>0</v>
      </c>
    </row>
    <row r="876" spans="1:11" x14ac:dyDescent="0.25">
      <c r="A876">
        <v>96030</v>
      </c>
      <c r="B876" t="s">
        <v>628</v>
      </c>
      <c r="C876" t="s">
        <v>54</v>
      </c>
      <c r="E876" t="s">
        <v>1147</v>
      </c>
      <c r="F876">
        <v>1</v>
      </c>
      <c r="G876">
        <v>1950</v>
      </c>
      <c r="H876">
        <v>896</v>
      </c>
      <c r="I876">
        <v>0</v>
      </c>
      <c r="J876">
        <v>0</v>
      </c>
      <c r="K876">
        <v>0</v>
      </c>
    </row>
    <row r="877" spans="1:11" x14ac:dyDescent="0.25">
      <c r="A877">
        <v>24232</v>
      </c>
      <c r="B877" t="s">
        <v>629</v>
      </c>
      <c r="C877" t="s">
        <v>166</v>
      </c>
      <c r="E877" t="s">
        <v>1162</v>
      </c>
      <c r="F877">
        <v>51</v>
      </c>
      <c r="G877">
        <v>1970</v>
      </c>
      <c r="H877">
        <v>897</v>
      </c>
      <c r="I877">
        <v>0</v>
      </c>
      <c r="J877">
        <v>0</v>
      </c>
      <c r="K877">
        <v>0</v>
      </c>
    </row>
    <row r="878" spans="1:11" x14ac:dyDescent="0.25">
      <c r="A878">
        <v>14017</v>
      </c>
      <c r="B878" t="s">
        <v>1700</v>
      </c>
      <c r="C878" t="s">
        <v>125</v>
      </c>
      <c r="E878" t="s">
        <v>1103</v>
      </c>
      <c r="F878">
        <v>48</v>
      </c>
      <c r="G878">
        <v>1961</v>
      </c>
      <c r="H878">
        <v>470</v>
      </c>
      <c r="I878">
        <v>2.7349999999999999</v>
      </c>
      <c r="J878">
        <v>183.81899999999999</v>
      </c>
      <c r="K878">
        <v>67</v>
      </c>
    </row>
    <row r="879" spans="1:11" x14ac:dyDescent="0.25">
      <c r="A879">
        <v>14105</v>
      </c>
      <c r="B879" t="s">
        <v>1701</v>
      </c>
      <c r="C879" t="s">
        <v>20</v>
      </c>
      <c r="D879" t="s">
        <v>1053</v>
      </c>
      <c r="E879" t="s">
        <v>1506</v>
      </c>
      <c r="F879">
        <v>77</v>
      </c>
      <c r="G879">
        <v>1947</v>
      </c>
      <c r="H879">
        <v>898</v>
      </c>
      <c r="I879">
        <v>0</v>
      </c>
      <c r="J879">
        <v>0</v>
      </c>
      <c r="K879">
        <v>0</v>
      </c>
    </row>
    <row r="880" spans="1:11" x14ac:dyDescent="0.25">
      <c r="A880">
        <v>15041</v>
      </c>
      <c r="B880" t="s">
        <v>1702</v>
      </c>
      <c r="C880" t="s">
        <v>228</v>
      </c>
      <c r="E880" t="s">
        <v>1103</v>
      </c>
      <c r="F880">
        <v>48</v>
      </c>
      <c r="G880">
        <v>1963</v>
      </c>
      <c r="H880">
        <v>202</v>
      </c>
      <c r="I880">
        <v>11.134</v>
      </c>
      <c r="J880">
        <v>1012.2670000000001</v>
      </c>
      <c r="K880">
        <v>518</v>
      </c>
    </row>
    <row r="881" spans="1:11" x14ac:dyDescent="0.25">
      <c r="A881">
        <v>15075</v>
      </c>
      <c r="B881" t="s">
        <v>1703</v>
      </c>
      <c r="C881" t="s">
        <v>63</v>
      </c>
      <c r="D881" t="s">
        <v>1053</v>
      </c>
      <c r="E881" t="s">
        <v>1147</v>
      </c>
      <c r="F881">
        <v>1</v>
      </c>
      <c r="G881">
        <v>1956</v>
      </c>
      <c r="H881">
        <v>458</v>
      </c>
      <c r="I881">
        <v>2.1259999999999999</v>
      </c>
      <c r="J881">
        <v>196.99799999999999</v>
      </c>
      <c r="K881">
        <v>118</v>
      </c>
    </row>
    <row r="882" spans="1:11" x14ac:dyDescent="0.25">
      <c r="A882">
        <v>96205</v>
      </c>
      <c r="B882" t="s">
        <v>630</v>
      </c>
      <c r="C882" t="s">
        <v>72</v>
      </c>
      <c r="E882" t="s">
        <v>1147</v>
      </c>
      <c r="F882">
        <v>1</v>
      </c>
      <c r="G882">
        <v>1953</v>
      </c>
      <c r="H882">
        <v>353</v>
      </c>
      <c r="I882">
        <v>7.8129999999999997</v>
      </c>
      <c r="J882">
        <v>396.19200000000001</v>
      </c>
      <c r="K882">
        <v>78</v>
      </c>
    </row>
    <row r="883" spans="1:11" x14ac:dyDescent="0.25">
      <c r="A883">
        <v>15066</v>
      </c>
      <c r="B883" t="s">
        <v>630</v>
      </c>
      <c r="C883" t="s">
        <v>22</v>
      </c>
      <c r="D883" t="s">
        <v>1048</v>
      </c>
      <c r="E883" t="s">
        <v>1147</v>
      </c>
      <c r="F883">
        <v>1</v>
      </c>
      <c r="G883">
        <v>2005</v>
      </c>
      <c r="H883">
        <v>662</v>
      </c>
      <c r="I883">
        <v>0.375</v>
      </c>
      <c r="J883">
        <v>13.82</v>
      </c>
      <c r="K883">
        <v>0</v>
      </c>
    </row>
    <row r="884" spans="1:11" x14ac:dyDescent="0.25">
      <c r="A884">
        <v>21789</v>
      </c>
      <c r="B884" t="s">
        <v>631</v>
      </c>
      <c r="C884" t="s">
        <v>36</v>
      </c>
      <c r="D884" t="s">
        <v>1053</v>
      </c>
      <c r="E884" t="s">
        <v>1131</v>
      </c>
      <c r="F884">
        <v>7</v>
      </c>
      <c r="G884">
        <v>1968</v>
      </c>
      <c r="H884">
        <v>899</v>
      </c>
      <c r="I884">
        <v>0</v>
      </c>
      <c r="J884">
        <v>0</v>
      </c>
      <c r="K884">
        <v>0</v>
      </c>
    </row>
    <row r="885" spans="1:11" x14ac:dyDescent="0.25">
      <c r="A885">
        <v>20713</v>
      </c>
      <c r="B885" t="s">
        <v>632</v>
      </c>
      <c r="C885" t="s">
        <v>105</v>
      </c>
      <c r="E885" t="s">
        <v>1116</v>
      </c>
      <c r="F885">
        <v>20</v>
      </c>
      <c r="G885">
        <v>1949</v>
      </c>
      <c r="H885">
        <v>644</v>
      </c>
      <c r="I885">
        <v>0.75</v>
      </c>
      <c r="J885">
        <v>28.146999999999998</v>
      </c>
      <c r="K885">
        <v>0</v>
      </c>
    </row>
    <row r="886" spans="1:11" x14ac:dyDescent="0.25">
      <c r="A886">
        <v>10125</v>
      </c>
      <c r="B886" t="s">
        <v>633</v>
      </c>
      <c r="C886" t="s">
        <v>98</v>
      </c>
      <c r="D886" t="s">
        <v>1053</v>
      </c>
      <c r="E886" t="s">
        <v>1167</v>
      </c>
      <c r="F886">
        <v>70</v>
      </c>
      <c r="G886">
        <v>1949</v>
      </c>
      <c r="H886">
        <v>900</v>
      </c>
      <c r="I886">
        <v>0</v>
      </c>
      <c r="J886">
        <v>0</v>
      </c>
      <c r="K886">
        <v>0</v>
      </c>
    </row>
    <row r="887" spans="1:11" x14ac:dyDescent="0.25">
      <c r="A887">
        <v>21840</v>
      </c>
      <c r="B887" t="s">
        <v>634</v>
      </c>
      <c r="C887" t="s">
        <v>46</v>
      </c>
      <c r="E887" t="s">
        <v>1103</v>
      </c>
      <c r="F887">
        <v>48</v>
      </c>
      <c r="G887">
        <v>1961</v>
      </c>
      <c r="H887">
        <v>901</v>
      </c>
      <c r="I887">
        <v>0</v>
      </c>
      <c r="J887">
        <v>0</v>
      </c>
      <c r="K887">
        <v>0</v>
      </c>
    </row>
    <row r="888" spans="1:11" x14ac:dyDescent="0.25">
      <c r="A888">
        <v>21842</v>
      </c>
      <c r="B888" t="s">
        <v>635</v>
      </c>
      <c r="C888" t="s">
        <v>36</v>
      </c>
      <c r="D888" t="s">
        <v>1053</v>
      </c>
      <c r="E888" t="s">
        <v>1103</v>
      </c>
      <c r="F888">
        <v>48</v>
      </c>
      <c r="G888">
        <v>1959</v>
      </c>
      <c r="H888">
        <v>902</v>
      </c>
      <c r="I888">
        <v>0</v>
      </c>
      <c r="J888">
        <v>0</v>
      </c>
      <c r="K888">
        <v>0</v>
      </c>
    </row>
    <row r="889" spans="1:11" x14ac:dyDescent="0.25">
      <c r="A889">
        <v>21819</v>
      </c>
      <c r="B889" t="s">
        <v>636</v>
      </c>
      <c r="C889" t="s">
        <v>73</v>
      </c>
      <c r="E889" t="s">
        <v>1193</v>
      </c>
      <c r="F889">
        <v>36</v>
      </c>
      <c r="G889">
        <v>1952</v>
      </c>
      <c r="H889">
        <v>903</v>
      </c>
      <c r="I889">
        <v>0</v>
      </c>
      <c r="J889">
        <v>0</v>
      </c>
      <c r="K889">
        <v>0</v>
      </c>
    </row>
    <row r="890" spans="1:11" x14ac:dyDescent="0.25">
      <c r="A890">
        <v>10047</v>
      </c>
      <c r="B890" t="s">
        <v>637</v>
      </c>
      <c r="C890" t="s">
        <v>246</v>
      </c>
      <c r="E890" t="s">
        <v>1122</v>
      </c>
      <c r="F890">
        <v>63</v>
      </c>
      <c r="G890">
        <v>1997</v>
      </c>
      <c r="H890">
        <v>96</v>
      </c>
      <c r="I890">
        <v>33.75</v>
      </c>
      <c r="J890">
        <v>1980.1769999999999</v>
      </c>
      <c r="K890">
        <v>694</v>
      </c>
    </row>
    <row r="891" spans="1:11" x14ac:dyDescent="0.25">
      <c r="A891">
        <v>13053</v>
      </c>
      <c r="B891" t="s">
        <v>1282</v>
      </c>
      <c r="C891" t="s">
        <v>120</v>
      </c>
      <c r="D891" t="s">
        <v>1053</v>
      </c>
      <c r="E891" t="s">
        <v>1167</v>
      </c>
      <c r="F891">
        <v>70</v>
      </c>
      <c r="G891">
        <v>1946</v>
      </c>
      <c r="H891">
        <v>904</v>
      </c>
      <c r="I891">
        <v>0</v>
      </c>
      <c r="J891">
        <v>0</v>
      </c>
      <c r="K891">
        <v>0</v>
      </c>
    </row>
    <row r="892" spans="1:11" x14ac:dyDescent="0.25">
      <c r="A892">
        <v>97272</v>
      </c>
      <c r="B892" t="s">
        <v>638</v>
      </c>
      <c r="C892" t="s">
        <v>67</v>
      </c>
      <c r="E892" t="s">
        <v>1147</v>
      </c>
      <c r="F892">
        <v>1</v>
      </c>
      <c r="G892">
        <v>1957</v>
      </c>
      <c r="H892">
        <v>262</v>
      </c>
      <c r="I892">
        <v>11.156000000000001</v>
      </c>
      <c r="J892">
        <v>661.36300000000006</v>
      </c>
      <c r="K892">
        <v>199</v>
      </c>
    </row>
    <row r="893" spans="1:11" x14ac:dyDescent="0.25">
      <c r="A893">
        <v>15068</v>
      </c>
      <c r="B893" t="s">
        <v>1704</v>
      </c>
      <c r="C893" t="s">
        <v>276</v>
      </c>
      <c r="E893" t="s">
        <v>1172</v>
      </c>
      <c r="F893">
        <v>24</v>
      </c>
      <c r="G893">
        <v>1956</v>
      </c>
      <c r="H893">
        <v>170</v>
      </c>
      <c r="I893">
        <v>15.259</v>
      </c>
      <c r="J893">
        <v>1294.2670000000001</v>
      </c>
      <c r="K893">
        <v>615</v>
      </c>
    </row>
    <row r="894" spans="1:11" x14ac:dyDescent="0.25">
      <c r="A894">
        <v>97262</v>
      </c>
      <c r="B894" t="s">
        <v>639</v>
      </c>
      <c r="C894" t="s">
        <v>346</v>
      </c>
      <c r="D894" t="s">
        <v>1053</v>
      </c>
      <c r="E894" t="s">
        <v>1174</v>
      </c>
      <c r="F894">
        <v>28</v>
      </c>
      <c r="G894">
        <v>1964</v>
      </c>
      <c r="H894">
        <v>484</v>
      </c>
      <c r="I894">
        <v>4.75</v>
      </c>
      <c r="J894">
        <v>157.24199999999999</v>
      </c>
      <c r="K894">
        <v>0</v>
      </c>
    </row>
    <row r="895" spans="1:11" x14ac:dyDescent="0.25">
      <c r="A895">
        <v>21820</v>
      </c>
      <c r="B895" t="s">
        <v>640</v>
      </c>
      <c r="C895" t="s">
        <v>552</v>
      </c>
      <c r="E895" t="s">
        <v>1193</v>
      </c>
      <c r="F895">
        <v>36</v>
      </c>
      <c r="G895">
        <v>1959</v>
      </c>
      <c r="H895">
        <v>905</v>
      </c>
      <c r="I895">
        <v>0</v>
      </c>
      <c r="J895">
        <v>0</v>
      </c>
      <c r="K895">
        <v>0</v>
      </c>
    </row>
    <row r="896" spans="1:11" x14ac:dyDescent="0.25">
      <c r="A896">
        <v>16012</v>
      </c>
      <c r="B896" t="s">
        <v>1705</v>
      </c>
      <c r="C896" t="s">
        <v>12</v>
      </c>
      <c r="D896" t="s">
        <v>1048</v>
      </c>
      <c r="E896" t="s">
        <v>1437</v>
      </c>
      <c r="F896">
        <v>79</v>
      </c>
      <c r="G896">
        <v>2001</v>
      </c>
      <c r="H896">
        <v>354</v>
      </c>
      <c r="I896">
        <v>4.9850000000000003</v>
      </c>
      <c r="J896">
        <v>395.04300000000001</v>
      </c>
      <c r="K896">
        <v>162</v>
      </c>
    </row>
    <row r="897" spans="1:11" x14ac:dyDescent="0.25">
      <c r="A897">
        <v>16068</v>
      </c>
      <c r="B897" t="s">
        <v>1706</v>
      </c>
      <c r="C897" t="s">
        <v>371</v>
      </c>
      <c r="E897" t="s">
        <v>1441</v>
      </c>
      <c r="F897">
        <v>84</v>
      </c>
      <c r="G897">
        <v>1947</v>
      </c>
      <c r="H897">
        <v>906</v>
      </c>
      <c r="I897">
        <v>0</v>
      </c>
      <c r="J897">
        <v>0</v>
      </c>
      <c r="K897">
        <v>0</v>
      </c>
    </row>
    <row r="898" spans="1:11" x14ac:dyDescent="0.25">
      <c r="A898">
        <v>16069</v>
      </c>
      <c r="B898" t="s">
        <v>1707</v>
      </c>
      <c r="C898" t="s">
        <v>109</v>
      </c>
      <c r="D898" t="s">
        <v>1053</v>
      </c>
      <c r="E898" t="s">
        <v>1441</v>
      </c>
      <c r="F898">
        <v>84</v>
      </c>
      <c r="G898">
        <v>1950</v>
      </c>
      <c r="H898">
        <v>907</v>
      </c>
      <c r="I898">
        <v>0</v>
      </c>
      <c r="J898">
        <v>0</v>
      </c>
      <c r="K898">
        <v>0</v>
      </c>
    </row>
    <row r="899" spans="1:11" x14ac:dyDescent="0.25">
      <c r="A899">
        <v>23087</v>
      </c>
      <c r="B899" t="s">
        <v>641</v>
      </c>
      <c r="C899" t="s">
        <v>67</v>
      </c>
      <c r="E899" t="s">
        <v>1094</v>
      </c>
      <c r="F899">
        <v>43</v>
      </c>
      <c r="G899">
        <v>1978</v>
      </c>
      <c r="H899">
        <v>908</v>
      </c>
      <c r="I899">
        <v>0</v>
      </c>
      <c r="J899">
        <v>0</v>
      </c>
      <c r="K899">
        <v>0</v>
      </c>
    </row>
    <row r="900" spans="1:11" x14ac:dyDescent="0.25">
      <c r="A900">
        <v>15026</v>
      </c>
      <c r="B900" t="s">
        <v>641</v>
      </c>
      <c r="C900" t="s">
        <v>46</v>
      </c>
      <c r="E900" t="s">
        <v>1142</v>
      </c>
      <c r="F900">
        <v>64</v>
      </c>
      <c r="G900">
        <v>1964</v>
      </c>
      <c r="H900">
        <v>293</v>
      </c>
      <c r="I900">
        <v>6.4859999999999998</v>
      </c>
      <c r="J900">
        <v>551.92499999999995</v>
      </c>
      <c r="K900">
        <v>245</v>
      </c>
    </row>
    <row r="901" spans="1:11" x14ac:dyDescent="0.25">
      <c r="A901">
        <v>16059</v>
      </c>
      <c r="B901" t="s">
        <v>641</v>
      </c>
      <c r="C901" t="s">
        <v>34</v>
      </c>
      <c r="E901" t="s">
        <v>1524</v>
      </c>
      <c r="F901">
        <v>83</v>
      </c>
      <c r="G901">
        <v>1975</v>
      </c>
      <c r="H901">
        <v>332</v>
      </c>
      <c r="I901">
        <v>8.4920000000000009</v>
      </c>
      <c r="J901">
        <v>450.62299999999999</v>
      </c>
      <c r="K901">
        <v>175</v>
      </c>
    </row>
    <row r="902" spans="1:11" x14ac:dyDescent="0.25">
      <c r="A902">
        <v>24258</v>
      </c>
      <c r="B902" t="s">
        <v>641</v>
      </c>
      <c r="C902" t="s">
        <v>642</v>
      </c>
      <c r="E902" t="s">
        <v>1147</v>
      </c>
      <c r="F902">
        <v>1</v>
      </c>
      <c r="G902">
        <v>1942</v>
      </c>
      <c r="H902">
        <v>489</v>
      </c>
      <c r="I902">
        <v>4.375</v>
      </c>
      <c r="J902">
        <v>148.63300000000001</v>
      </c>
      <c r="K902">
        <v>0</v>
      </c>
    </row>
    <row r="903" spans="1:11" x14ac:dyDescent="0.25">
      <c r="A903">
        <v>98369</v>
      </c>
      <c r="B903" t="s">
        <v>643</v>
      </c>
      <c r="C903" t="s">
        <v>478</v>
      </c>
      <c r="D903" t="s">
        <v>1053</v>
      </c>
      <c r="E903" t="s">
        <v>1174</v>
      </c>
      <c r="F903">
        <v>28</v>
      </c>
      <c r="G903">
        <v>1957</v>
      </c>
      <c r="H903">
        <v>909</v>
      </c>
      <c r="I903">
        <v>0</v>
      </c>
      <c r="J903">
        <v>0</v>
      </c>
      <c r="K903">
        <v>0</v>
      </c>
    </row>
    <row r="904" spans="1:11" x14ac:dyDescent="0.25">
      <c r="A904">
        <v>24275</v>
      </c>
      <c r="B904" t="s">
        <v>644</v>
      </c>
      <c r="C904" t="s">
        <v>246</v>
      </c>
      <c r="E904" t="s">
        <v>1095</v>
      </c>
      <c r="F904">
        <v>52</v>
      </c>
      <c r="G904">
        <v>1963</v>
      </c>
      <c r="H904">
        <v>423</v>
      </c>
      <c r="I904">
        <v>2.8290000000000002</v>
      </c>
      <c r="J904">
        <v>247.60400000000001</v>
      </c>
      <c r="K904">
        <v>128</v>
      </c>
    </row>
    <row r="905" spans="1:11" x14ac:dyDescent="0.25">
      <c r="A905">
        <v>14019</v>
      </c>
      <c r="B905" t="s">
        <v>1708</v>
      </c>
      <c r="C905" t="s">
        <v>155</v>
      </c>
      <c r="D905" t="s">
        <v>1053</v>
      </c>
      <c r="E905" t="s">
        <v>1119</v>
      </c>
      <c r="F905">
        <v>54</v>
      </c>
      <c r="G905">
        <v>1945</v>
      </c>
      <c r="H905">
        <v>121</v>
      </c>
      <c r="I905">
        <v>23.876000000000001</v>
      </c>
      <c r="J905">
        <v>1724.4749999999999</v>
      </c>
      <c r="K905">
        <v>763</v>
      </c>
    </row>
    <row r="906" spans="1:11" x14ac:dyDescent="0.25">
      <c r="A906">
        <v>27080</v>
      </c>
      <c r="B906" t="s">
        <v>645</v>
      </c>
      <c r="C906" t="s">
        <v>15</v>
      </c>
      <c r="E906" t="s">
        <v>1176</v>
      </c>
      <c r="F906">
        <v>42</v>
      </c>
      <c r="G906">
        <v>1970</v>
      </c>
      <c r="H906">
        <v>112</v>
      </c>
      <c r="I906">
        <v>35.875</v>
      </c>
      <c r="J906">
        <v>1799.402</v>
      </c>
      <c r="K906">
        <v>648</v>
      </c>
    </row>
    <row r="907" spans="1:11" x14ac:dyDescent="0.25">
      <c r="A907">
        <v>15028</v>
      </c>
      <c r="B907" t="s">
        <v>1709</v>
      </c>
      <c r="C907" t="s">
        <v>39</v>
      </c>
      <c r="E907" t="s">
        <v>1437</v>
      </c>
      <c r="F907">
        <v>79</v>
      </c>
      <c r="G907">
        <v>1987</v>
      </c>
      <c r="H907">
        <v>187</v>
      </c>
      <c r="I907">
        <v>13.103999999999999</v>
      </c>
      <c r="J907">
        <v>1161.04</v>
      </c>
      <c r="K907">
        <v>556</v>
      </c>
    </row>
    <row r="908" spans="1:11" x14ac:dyDescent="0.25">
      <c r="A908">
        <v>23086</v>
      </c>
      <c r="B908" t="s">
        <v>646</v>
      </c>
      <c r="C908" t="s">
        <v>33</v>
      </c>
      <c r="E908" t="s">
        <v>1094</v>
      </c>
      <c r="F908">
        <v>43</v>
      </c>
      <c r="G908">
        <v>1955</v>
      </c>
      <c r="H908">
        <v>23</v>
      </c>
      <c r="I908">
        <v>41.875</v>
      </c>
      <c r="J908">
        <v>3189.6909999999998</v>
      </c>
      <c r="K908">
        <v>1611</v>
      </c>
    </row>
    <row r="909" spans="1:11" x14ac:dyDescent="0.25">
      <c r="A909">
        <v>16089</v>
      </c>
      <c r="B909" t="s">
        <v>1710</v>
      </c>
      <c r="C909" t="s">
        <v>1711</v>
      </c>
      <c r="E909" t="s">
        <v>1441</v>
      </c>
      <c r="F909">
        <v>84</v>
      </c>
      <c r="G909">
        <v>1944</v>
      </c>
      <c r="H909">
        <v>527</v>
      </c>
      <c r="I909">
        <v>1.5940000000000001</v>
      </c>
      <c r="J909">
        <v>98.117999999999995</v>
      </c>
      <c r="K909">
        <v>36</v>
      </c>
    </row>
    <row r="910" spans="1:11" x14ac:dyDescent="0.25">
      <c r="A910">
        <v>16090</v>
      </c>
      <c r="B910" t="s">
        <v>1712</v>
      </c>
      <c r="C910" t="s">
        <v>109</v>
      </c>
      <c r="D910" t="s">
        <v>1053</v>
      </c>
      <c r="E910" t="s">
        <v>1441</v>
      </c>
      <c r="F910">
        <v>84</v>
      </c>
      <c r="G910">
        <v>1945</v>
      </c>
      <c r="H910">
        <v>640</v>
      </c>
      <c r="I910">
        <v>0.95299999999999996</v>
      </c>
      <c r="J910">
        <v>30.317</v>
      </c>
      <c r="K910">
        <v>0</v>
      </c>
    </row>
    <row r="911" spans="1:11" x14ac:dyDescent="0.25">
      <c r="A911">
        <v>26010</v>
      </c>
      <c r="B911" t="s">
        <v>647</v>
      </c>
      <c r="C911" t="s">
        <v>46</v>
      </c>
      <c r="E911" t="s">
        <v>1147</v>
      </c>
      <c r="F911">
        <v>1</v>
      </c>
      <c r="G911">
        <v>1953</v>
      </c>
      <c r="H911">
        <v>310</v>
      </c>
      <c r="I911">
        <v>12.563000000000001</v>
      </c>
      <c r="J911">
        <v>506.55700000000002</v>
      </c>
      <c r="K911">
        <v>46</v>
      </c>
    </row>
    <row r="912" spans="1:11" x14ac:dyDescent="0.25">
      <c r="A912">
        <v>14022</v>
      </c>
      <c r="B912" t="s">
        <v>648</v>
      </c>
      <c r="C912" t="s">
        <v>478</v>
      </c>
      <c r="D912" t="s">
        <v>1053</v>
      </c>
      <c r="E912" t="s">
        <v>1170</v>
      </c>
      <c r="F912">
        <v>55</v>
      </c>
      <c r="G912">
        <v>1985</v>
      </c>
      <c r="H912">
        <v>910</v>
      </c>
      <c r="I912">
        <v>0</v>
      </c>
      <c r="J912">
        <v>0</v>
      </c>
      <c r="K912">
        <v>0</v>
      </c>
    </row>
    <row r="913" spans="1:11" x14ac:dyDescent="0.25">
      <c r="A913">
        <v>28009</v>
      </c>
      <c r="B913" t="s">
        <v>648</v>
      </c>
      <c r="C913" t="s">
        <v>649</v>
      </c>
      <c r="D913" t="s">
        <v>1053</v>
      </c>
      <c r="E913" t="s">
        <v>1147</v>
      </c>
      <c r="F913">
        <v>1</v>
      </c>
      <c r="G913">
        <v>1955</v>
      </c>
      <c r="H913">
        <v>490</v>
      </c>
      <c r="I913">
        <v>4.8129999999999997</v>
      </c>
      <c r="J913">
        <v>147.08799999999999</v>
      </c>
      <c r="K913">
        <v>0</v>
      </c>
    </row>
    <row r="914" spans="1:11" x14ac:dyDescent="0.25">
      <c r="A914">
        <v>16066</v>
      </c>
      <c r="B914" t="s">
        <v>1713</v>
      </c>
      <c r="C914" t="s">
        <v>1714</v>
      </c>
      <c r="D914" t="s">
        <v>1053</v>
      </c>
      <c r="E914" t="s">
        <v>1167</v>
      </c>
      <c r="F914">
        <v>70</v>
      </c>
      <c r="G914">
        <v>1945</v>
      </c>
      <c r="H914">
        <v>615</v>
      </c>
      <c r="I914">
        <v>0.875</v>
      </c>
      <c r="J914">
        <v>38.237000000000002</v>
      </c>
      <c r="K914">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election activeCell="B185" sqref="B185"/>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4">
      <c r="A1" s="449"/>
      <c r="B1" s="295"/>
      <c r="C1" s="295"/>
      <c r="D1" s="296"/>
      <c r="E1" s="295">
        <v>16040</v>
      </c>
      <c r="F1" s="295"/>
      <c r="G1" s="316" t="s">
        <v>830</v>
      </c>
      <c r="H1" s="13"/>
    </row>
    <row r="2" spans="1:8" ht="13.15" customHeight="1" x14ac:dyDescent="0.25">
      <c r="A2" s="450"/>
      <c r="B2" s="450" t="s">
        <v>1747</v>
      </c>
      <c r="C2" s="451"/>
      <c r="D2" s="452"/>
      <c r="E2" s="451"/>
      <c r="F2" s="451"/>
      <c r="H2" s="13"/>
    </row>
    <row r="3" spans="1:8" ht="13.15" customHeight="1" x14ac:dyDescent="0.3">
      <c r="A3" s="453" t="s">
        <v>1748</v>
      </c>
      <c r="B3" s="453" t="s">
        <v>1379</v>
      </c>
      <c r="C3" s="313" t="s">
        <v>1749</v>
      </c>
      <c r="D3" s="312"/>
      <c r="E3" s="474">
        <v>42567</v>
      </c>
      <c r="F3" s="312" t="s">
        <v>1750</v>
      </c>
      <c r="G3" s="314" t="s">
        <v>831</v>
      </c>
      <c r="H3" s="13"/>
    </row>
    <row r="4" spans="1:8" ht="10.9" customHeight="1" x14ac:dyDescent="0.3">
      <c r="A4" s="297"/>
      <c r="B4" s="298"/>
      <c r="C4" s="298"/>
      <c r="D4" s="312"/>
      <c r="E4" s="312"/>
      <c r="F4" s="312"/>
      <c r="G4" s="314" t="s">
        <v>843</v>
      </c>
      <c r="H4" s="13"/>
    </row>
    <row r="5" spans="1:8" ht="13.15" customHeight="1" x14ac:dyDescent="0.3">
      <c r="A5" s="297"/>
      <c r="B5" s="297"/>
      <c r="C5" s="297"/>
      <c r="D5" s="297"/>
      <c r="E5" s="297"/>
      <c r="F5" s="297"/>
      <c r="G5" s="314" t="s">
        <v>844</v>
      </c>
      <c r="H5" s="13"/>
    </row>
    <row r="6" spans="1:8" ht="26.45" customHeight="1" x14ac:dyDescent="0.6">
      <c r="A6" s="310"/>
      <c r="B6" s="310"/>
      <c r="C6" s="310"/>
      <c r="D6" s="310"/>
      <c r="E6" s="310"/>
      <c r="F6" s="310"/>
      <c r="G6" s="13"/>
      <c r="H6" s="13"/>
    </row>
    <row r="7" spans="1:8" ht="8.4499999999999993" customHeight="1" x14ac:dyDescent="0.25">
      <c r="A7" s="311"/>
      <c r="B7" s="311"/>
      <c r="C7" s="311"/>
      <c r="D7" s="311"/>
      <c r="E7" s="311"/>
      <c r="F7" s="311"/>
      <c r="G7" s="13"/>
      <c r="H7" s="13"/>
    </row>
    <row r="8" spans="1:8" ht="26.45" customHeight="1" x14ac:dyDescent="0.3">
      <c r="A8" s="299" t="s">
        <v>1751</v>
      </c>
      <c r="B8" s="299" t="s">
        <v>1752</v>
      </c>
      <c r="C8" s="299" t="s">
        <v>1027</v>
      </c>
      <c r="D8" s="300">
        <v>1</v>
      </c>
      <c r="E8" s="448" t="s">
        <v>1028</v>
      </c>
      <c r="F8" s="448" t="s">
        <v>1753</v>
      </c>
      <c r="G8" s="314"/>
      <c r="H8" s="13"/>
    </row>
    <row r="9" spans="1:8" ht="14.25" x14ac:dyDescent="0.3">
      <c r="A9" s="301">
        <v>98446</v>
      </c>
      <c r="B9" s="309" t="s">
        <v>1754</v>
      </c>
      <c r="C9" s="301" t="s">
        <v>682</v>
      </c>
      <c r="D9" s="302"/>
      <c r="E9" s="447">
        <v>28</v>
      </c>
      <c r="F9" s="447" t="s">
        <v>1755</v>
      </c>
      <c r="G9" s="314" t="s">
        <v>841</v>
      </c>
      <c r="H9" s="13"/>
    </row>
    <row r="10" spans="1:8" ht="14.25" x14ac:dyDescent="0.3">
      <c r="A10" s="301">
        <v>23021</v>
      </c>
      <c r="B10" s="309" t="s">
        <v>1756</v>
      </c>
      <c r="C10" s="301" t="s">
        <v>1094</v>
      </c>
      <c r="D10" s="302"/>
      <c r="E10" s="447">
        <v>63</v>
      </c>
      <c r="F10" s="447" t="s">
        <v>1757</v>
      </c>
      <c r="G10" s="314" t="s">
        <v>845</v>
      </c>
      <c r="H10" s="13"/>
    </row>
    <row r="11" spans="1:8" ht="14.25" x14ac:dyDescent="0.3">
      <c r="A11" s="301"/>
      <c r="B11" s="309"/>
      <c r="C11" s="301"/>
      <c r="D11" s="302"/>
      <c r="E11" s="447"/>
      <c r="F11" s="447"/>
      <c r="H11" s="13"/>
    </row>
    <row r="12" spans="1:8" ht="14.25" x14ac:dyDescent="0.3">
      <c r="A12" s="301"/>
      <c r="B12" s="309"/>
      <c r="C12" s="301"/>
      <c r="D12" s="302"/>
      <c r="E12" s="447"/>
      <c r="F12" s="447"/>
      <c r="G12" s="314"/>
      <c r="H12" s="13"/>
    </row>
    <row r="13" spans="1:8" ht="39.75" x14ac:dyDescent="0.3">
      <c r="A13" s="299" t="s">
        <v>1751</v>
      </c>
      <c r="B13" s="299" t="s">
        <v>1752</v>
      </c>
      <c r="C13" s="299" t="s">
        <v>1027</v>
      </c>
      <c r="D13" s="300">
        <v>2</v>
      </c>
      <c r="E13" s="448" t="s">
        <v>1028</v>
      </c>
      <c r="F13" s="448" t="s">
        <v>1758</v>
      </c>
      <c r="G13" s="314"/>
      <c r="H13" s="13"/>
    </row>
    <row r="14" spans="1:8" ht="14.25" x14ac:dyDescent="0.3">
      <c r="A14" s="301">
        <v>12020</v>
      </c>
      <c r="B14" s="309" t="s">
        <v>1759</v>
      </c>
      <c r="C14" s="301" t="s">
        <v>682</v>
      </c>
      <c r="D14" s="302"/>
      <c r="E14" s="447">
        <v>29</v>
      </c>
      <c r="F14" s="447" t="s">
        <v>1755</v>
      </c>
      <c r="G14" s="314"/>
      <c r="H14" s="13"/>
    </row>
    <row r="15" spans="1:8" ht="14.25" x14ac:dyDescent="0.3">
      <c r="A15" s="301">
        <v>14060</v>
      </c>
      <c r="B15" s="309" t="s">
        <v>1760</v>
      </c>
      <c r="C15" s="301" t="s">
        <v>1084</v>
      </c>
      <c r="D15" s="302"/>
      <c r="E15" s="447">
        <v>69</v>
      </c>
      <c r="F15" s="447" t="s">
        <v>1761</v>
      </c>
      <c r="G15" s="314"/>
      <c r="H15" s="13"/>
    </row>
    <row r="16" spans="1:8" ht="14.25" x14ac:dyDescent="0.3">
      <c r="A16" s="301"/>
      <c r="B16" s="309"/>
      <c r="C16" s="301"/>
      <c r="D16" s="302"/>
      <c r="E16" s="447"/>
      <c r="F16" s="447"/>
      <c r="G16" s="314"/>
      <c r="H16" s="13"/>
    </row>
    <row r="17" spans="1:8" ht="14.25" x14ac:dyDescent="0.3">
      <c r="A17" s="301"/>
      <c r="B17" s="309"/>
      <c r="C17" s="301"/>
      <c r="D17" s="302"/>
      <c r="E17" s="447"/>
      <c r="F17" s="447"/>
      <c r="G17" s="314"/>
      <c r="H17" s="13"/>
    </row>
    <row r="18" spans="1:8" ht="39.75" x14ac:dyDescent="0.3">
      <c r="A18" s="299" t="s">
        <v>1751</v>
      </c>
      <c r="B18" s="299" t="s">
        <v>1752</v>
      </c>
      <c r="C18" s="299" t="s">
        <v>1027</v>
      </c>
      <c r="D18" s="300">
        <v>3</v>
      </c>
      <c r="E18" s="448" t="s">
        <v>1028</v>
      </c>
      <c r="F18" s="448" t="s">
        <v>1762</v>
      </c>
      <c r="G18" s="314"/>
      <c r="H18" s="13"/>
    </row>
    <row r="19" spans="1:8" ht="14.25" x14ac:dyDescent="0.3">
      <c r="A19" s="301">
        <v>14076</v>
      </c>
      <c r="B19" s="309" t="s">
        <v>1763</v>
      </c>
      <c r="C19" s="301" t="s">
        <v>1437</v>
      </c>
      <c r="D19" s="302"/>
      <c r="E19" s="447">
        <v>61</v>
      </c>
      <c r="F19" s="447" t="s">
        <v>1764</v>
      </c>
      <c r="G19" s="314"/>
      <c r="H19" s="13"/>
    </row>
    <row r="20" spans="1:8" ht="14.25" x14ac:dyDescent="0.3">
      <c r="A20" s="301">
        <v>24218</v>
      </c>
      <c r="B20" s="309" t="s">
        <v>1765</v>
      </c>
      <c r="C20" s="301" t="s">
        <v>722</v>
      </c>
      <c r="D20" s="302"/>
      <c r="E20" s="447">
        <v>18</v>
      </c>
      <c r="F20" s="447" t="s">
        <v>1766</v>
      </c>
      <c r="G20" s="13"/>
      <c r="H20" s="13"/>
    </row>
    <row r="21" spans="1:8" ht="14.25" x14ac:dyDescent="0.3">
      <c r="A21" s="301"/>
      <c r="B21" s="309"/>
      <c r="C21" s="301"/>
      <c r="D21" s="302"/>
      <c r="E21" s="447"/>
      <c r="F21" s="447"/>
      <c r="G21" s="13"/>
      <c r="H21" s="13"/>
    </row>
    <row r="22" spans="1:8" ht="14.25" x14ac:dyDescent="0.3">
      <c r="A22" s="301"/>
      <c r="B22" s="309"/>
      <c r="C22" s="301"/>
      <c r="D22" s="302"/>
      <c r="E22" s="447"/>
      <c r="F22" s="447"/>
      <c r="G22" s="13"/>
      <c r="H22" s="13"/>
    </row>
    <row r="23" spans="1:8" ht="39" x14ac:dyDescent="0.25">
      <c r="A23" s="299" t="s">
        <v>1751</v>
      </c>
      <c r="B23" s="299" t="s">
        <v>1752</v>
      </c>
      <c r="C23" s="299" t="s">
        <v>1027</v>
      </c>
      <c r="D23" s="300">
        <v>4</v>
      </c>
      <c r="E23" s="448" t="s">
        <v>1028</v>
      </c>
      <c r="F23" s="448" t="s">
        <v>1767</v>
      </c>
      <c r="G23" s="13"/>
      <c r="H23" s="13"/>
    </row>
    <row r="24" spans="1:8" ht="14.25" x14ac:dyDescent="0.3">
      <c r="A24" s="301">
        <v>26011</v>
      </c>
      <c r="B24" s="309" t="s">
        <v>1768</v>
      </c>
      <c r="C24" s="301" t="s">
        <v>1084</v>
      </c>
      <c r="D24" s="302"/>
      <c r="E24" s="447">
        <v>32</v>
      </c>
      <c r="F24" s="447" t="s">
        <v>1769</v>
      </c>
      <c r="G24" s="13"/>
      <c r="H24" s="13"/>
    </row>
    <row r="25" spans="1:8" ht="14.25" x14ac:dyDescent="0.3">
      <c r="A25" s="301">
        <v>27069</v>
      </c>
      <c r="B25" s="309" t="s">
        <v>1770</v>
      </c>
      <c r="C25" s="301" t="s">
        <v>1172</v>
      </c>
      <c r="D25" s="302"/>
      <c r="E25" s="447">
        <v>21</v>
      </c>
      <c r="F25" s="447" t="s">
        <v>1771</v>
      </c>
      <c r="G25" s="13"/>
      <c r="H25" s="13"/>
    </row>
    <row r="26" spans="1:8" ht="14.25" x14ac:dyDescent="0.3">
      <c r="A26" s="301"/>
      <c r="B26" s="309"/>
      <c r="C26" s="301"/>
      <c r="D26" s="302"/>
      <c r="E26" s="447"/>
      <c r="F26" s="447"/>
      <c r="G26" s="13"/>
      <c r="H26" s="13"/>
    </row>
    <row r="27" spans="1:8" ht="14.25" x14ac:dyDescent="0.3">
      <c r="A27" s="301"/>
      <c r="B27" s="309"/>
      <c r="C27" s="301"/>
      <c r="D27" s="302"/>
      <c r="E27" s="447"/>
      <c r="F27" s="447"/>
      <c r="G27" s="13"/>
      <c r="H27" s="13"/>
    </row>
    <row r="28" spans="1:8" ht="39" x14ac:dyDescent="0.25">
      <c r="A28" s="299" t="s">
        <v>1751</v>
      </c>
      <c r="B28" s="299" t="s">
        <v>1752</v>
      </c>
      <c r="C28" s="299" t="s">
        <v>1027</v>
      </c>
      <c r="D28" s="300">
        <v>5</v>
      </c>
      <c r="E28" s="448" t="s">
        <v>1028</v>
      </c>
      <c r="F28" s="448" t="s">
        <v>1772</v>
      </c>
      <c r="G28" s="13"/>
      <c r="H28" s="13"/>
    </row>
    <row r="29" spans="1:8" ht="14.25" x14ac:dyDescent="0.3">
      <c r="A29" s="301">
        <v>21754</v>
      </c>
      <c r="B29" s="309" t="s">
        <v>1773</v>
      </c>
      <c r="C29" s="301" t="s">
        <v>779</v>
      </c>
      <c r="D29" s="302"/>
      <c r="E29" s="447">
        <v>57</v>
      </c>
      <c r="F29" s="447" t="s">
        <v>1774</v>
      </c>
      <c r="G29" s="13"/>
      <c r="H29" s="13"/>
    </row>
    <row r="30" spans="1:8" ht="14.25" x14ac:dyDescent="0.3">
      <c r="A30" s="301">
        <v>25017</v>
      </c>
      <c r="B30" s="309" t="s">
        <v>1775</v>
      </c>
      <c r="C30" s="301" t="s">
        <v>779</v>
      </c>
      <c r="D30" s="302"/>
      <c r="E30" s="447">
        <v>40</v>
      </c>
      <c r="F30" s="447" t="s">
        <v>1776</v>
      </c>
      <c r="G30" s="13"/>
      <c r="H30" s="13"/>
    </row>
    <row r="31" spans="1:8" ht="14.25" x14ac:dyDescent="0.3">
      <c r="A31" s="301"/>
      <c r="B31" s="309"/>
      <c r="C31" s="301"/>
      <c r="D31" s="302"/>
      <c r="E31" s="447"/>
      <c r="F31" s="447"/>
      <c r="G31" s="13"/>
      <c r="H31" s="13"/>
    </row>
    <row r="32" spans="1:8" ht="14.25" x14ac:dyDescent="0.3">
      <c r="A32" s="301"/>
      <c r="B32" s="309"/>
      <c r="C32" s="301"/>
      <c r="D32" s="302"/>
      <c r="E32" s="447"/>
      <c r="F32" s="447"/>
      <c r="G32" s="13"/>
      <c r="H32" s="13"/>
    </row>
    <row r="33" spans="1:8" ht="39" x14ac:dyDescent="0.25">
      <c r="A33" s="299" t="s">
        <v>1751</v>
      </c>
      <c r="B33" s="299" t="s">
        <v>1752</v>
      </c>
      <c r="C33" s="299" t="s">
        <v>1027</v>
      </c>
      <c r="D33" s="300">
        <v>6</v>
      </c>
      <c r="E33" s="448" t="s">
        <v>1028</v>
      </c>
      <c r="F33" s="448" t="s">
        <v>1777</v>
      </c>
      <c r="G33" s="13"/>
      <c r="H33" s="13"/>
    </row>
    <row r="34" spans="1:8" ht="14.25" x14ac:dyDescent="0.3">
      <c r="A34" s="301">
        <v>99574</v>
      </c>
      <c r="B34" s="309" t="s">
        <v>1778</v>
      </c>
      <c r="C34" s="301" t="s">
        <v>1119</v>
      </c>
      <c r="D34" s="302"/>
      <c r="E34" s="447">
        <v>46</v>
      </c>
      <c r="F34" s="447" t="s">
        <v>1779</v>
      </c>
      <c r="G34" s="13"/>
      <c r="H34" s="13"/>
    </row>
    <row r="35" spans="1:8" ht="14.25" x14ac:dyDescent="0.3">
      <c r="A35" s="301">
        <v>12017</v>
      </c>
      <c r="B35" s="309" t="s">
        <v>1780</v>
      </c>
      <c r="C35" s="301" t="s">
        <v>722</v>
      </c>
      <c r="D35" s="302"/>
      <c r="E35" s="447">
        <v>86</v>
      </c>
      <c r="F35" s="447" t="s">
        <v>1781</v>
      </c>
      <c r="G35" s="13"/>
      <c r="H35" s="13"/>
    </row>
    <row r="36" spans="1:8" ht="14.25" x14ac:dyDescent="0.3">
      <c r="A36" s="301"/>
      <c r="B36" s="309"/>
      <c r="C36" s="301"/>
      <c r="D36" s="302"/>
      <c r="E36" s="447"/>
      <c r="F36" s="447"/>
      <c r="G36" s="13"/>
      <c r="H36" s="13"/>
    </row>
    <row r="37" spans="1:8" ht="14.25" x14ac:dyDescent="0.3">
      <c r="A37" s="301"/>
      <c r="B37" s="309"/>
      <c r="C37" s="301"/>
      <c r="D37" s="302"/>
      <c r="E37" s="447"/>
      <c r="F37" s="447"/>
      <c r="G37" s="13"/>
      <c r="H37" s="13"/>
    </row>
    <row r="38" spans="1:8" ht="39" x14ac:dyDescent="0.25">
      <c r="A38" s="299" t="s">
        <v>1751</v>
      </c>
      <c r="B38" s="299" t="s">
        <v>1752</v>
      </c>
      <c r="C38" s="299" t="s">
        <v>1027</v>
      </c>
      <c r="D38" s="300">
        <v>7</v>
      </c>
      <c r="E38" s="448" t="s">
        <v>1028</v>
      </c>
      <c r="F38" s="448" t="s">
        <v>1782</v>
      </c>
      <c r="G38" s="13"/>
      <c r="H38" s="13"/>
    </row>
    <row r="39" spans="1:8" ht="14.25" x14ac:dyDescent="0.3">
      <c r="A39" s="301">
        <v>99590</v>
      </c>
      <c r="B39" s="309" t="s">
        <v>1783</v>
      </c>
      <c r="C39" s="301" t="s">
        <v>680</v>
      </c>
      <c r="D39" s="302"/>
      <c r="E39" s="447">
        <v>60</v>
      </c>
      <c r="F39" s="447" t="s">
        <v>1784</v>
      </c>
      <c r="G39" s="13"/>
      <c r="H39" s="13"/>
    </row>
    <row r="40" spans="1:8" ht="14.25" x14ac:dyDescent="0.3">
      <c r="A40" s="301">
        <v>28050</v>
      </c>
      <c r="B40" s="309" t="s">
        <v>1785</v>
      </c>
      <c r="C40" s="301" t="s">
        <v>680</v>
      </c>
      <c r="D40" s="302"/>
      <c r="E40" s="447">
        <v>101</v>
      </c>
      <c r="F40" s="447" t="s">
        <v>1786</v>
      </c>
      <c r="G40" s="13"/>
      <c r="H40" s="13"/>
    </row>
    <row r="41" spans="1:8" ht="14.25" x14ac:dyDescent="0.3">
      <c r="A41" s="301"/>
      <c r="B41" s="309"/>
      <c r="C41" s="301"/>
      <c r="D41" s="302"/>
      <c r="E41" s="447"/>
      <c r="F41" s="447"/>
      <c r="G41" s="13"/>
      <c r="H41" s="13"/>
    </row>
    <row r="42" spans="1:8" ht="14.25" x14ac:dyDescent="0.3">
      <c r="A42" s="301"/>
      <c r="B42" s="309"/>
      <c r="C42" s="301"/>
      <c r="D42" s="302"/>
      <c r="E42" s="447"/>
      <c r="F42" s="447"/>
      <c r="G42" s="13"/>
      <c r="H42" s="13"/>
    </row>
    <row r="43" spans="1:8" ht="39" x14ac:dyDescent="0.25">
      <c r="A43" s="299" t="s">
        <v>1751</v>
      </c>
      <c r="B43" s="299" t="s">
        <v>1752</v>
      </c>
      <c r="C43" s="299" t="s">
        <v>1027</v>
      </c>
      <c r="D43" s="300">
        <v>8</v>
      </c>
      <c r="E43" s="448" t="s">
        <v>1028</v>
      </c>
      <c r="F43" s="448" t="s">
        <v>1787</v>
      </c>
      <c r="G43" s="13"/>
      <c r="H43" s="13"/>
    </row>
    <row r="44" spans="1:8" ht="14.25" x14ac:dyDescent="0.3">
      <c r="A44" s="301">
        <v>12070</v>
      </c>
      <c r="B44" s="309" t="s">
        <v>1788</v>
      </c>
      <c r="C44" s="301" t="s">
        <v>1142</v>
      </c>
      <c r="D44" s="302"/>
      <c r="E44" s="447">
        <v>100</v>
      </c>
      <c r="F44" s="447" t="s">
        <v>1789</v>
      </c>
      <c r="G44" s="13"/>
      <c r="H44" s="13"/>
    </row>
    <row r="45" spans="1:8" ht="14.25" x14ac:dyDescent="0.3">
      <c r="A45" s="301">
        <v>12086</v>
      </c>
      <c r="B45" s="309" t="s">
        <v>1790</v>
      </c>
      <c r="C45" s="301" t="s">
        <v>1142</v>
      </c>
      <c r="D45" s="302"/>
      <c r="E45" s="447">
        <v>64</v>
      </c>
      <c r="F45" s="447" t="s">
        <v>1791</v>
      </c>
      <c r="G45" s="13"/>
      <c r="H45" s="13"/>
    </row>
    <row r="46" spans="1:8" ht="14.25" x14ac:dyDescent="0.3">
      <c r="A46" s="301"/>
      <c r="B46" s="309"/>
      <c r="C46" s="301"/>
      <c r="D46" s="302"/>
      <c r="E46" s="447"/>
      <c r="F46" s="447"/>
      <c r="G46" s="13"/>
      <c r="H46" s="13"/>
    </row>
    <row r="47" spans="1:8" ht="14.25" x14ac:dyDescent="0.3">
      <c r="A47" s="301"/>
      <c r="B47" s="309"/>
      <c r="C47" s="301"/>
      <c r="D47" s="302"/>
      <c r="E47" s="447"/>
      <c r="F47" s="447"/>
      <c r="G47" s="13"/>
      <c r="H47" s="13"/>
    </row>
    <row r="48" spans="1:8" ht="39" x14ac:dyDescent="0.25">
      <c r="A48" s="299" t="s">
        <v>1751</v>
      </c>
      <c r="B48" s="299" t="s">
        <v>1752</v>
      </c>
      <c r="C48" s="299" t="s">
        <v>1027</v>
      </c>
      <c r="D48" s="300">
        <v>9</v>
      </c>
      <c r="E48" s="448" t="s">
        <v>1028</v>
      </c>
      <c r="F48" s="448" t="s">
        <v>1792</v>
      </c>
      <c r="G48" s="13"/>
      <c r="H48" s="13"/>
    </row>
    <row r="49" spans="1:8" ht="14.25" x14ac:dyDescent="0.3">
      <c r="A49" s="301">
        <v>25014</v>
      </c>
      <c r="B49" s="309" t="s">
        <v>1793</v>
      </c>
      <c r="C49" s="301" t="s">
        <v>779</v>
      </c>
      <c r="D49" s="302"/>
      <c r="E49" s="447">
        <v>77</v>
      </c>
      <c r="F49" s="447" t="s">
        <v>1794</v>
      </c>
      <c r="G49" s="13"/>
      <c r="H49" s="13"/>
    </row>
    <row r="50" spans="1:8" ht="14.25" x14ac:dyDescent="0.3">
      <c r="A50" s="301">
        <v>12073</v>
      </c>
      <c r="B50" s="309" t="s">
        <v>1795</v>
      </c>
      <c r="C50" s="301" t="s">
        <v>779</v>
      </c>
      <c r="D50" s="302"/>
      <c r="E50" s="447">
        <v>102</v>
      </c>
      <c r="F50" s="447" t="s">
        <v>1796</v>
      </c>
      <c r="G50" s="13"/>
      <c r="H50" s="13"/>
    </row>
    <row r="51" spans="1:8" ht="14.25" x14ac:dyDescent="0.3">
      <c r="A51" s="301"/>
      <c r="B51" s="309"/>
      <c r="C51" s="301"/>
      <c r="D51" s="302"/>
      <c r="E51" s="447"/>
      <c r="F51" s="447"/>
      <c r="G51" s="13"/>
      <c r="H51" s="13"/>
    </row>
    <row r="52" spans="1:8" ht="14.25" x14ac:dyDescent="0.3">
      <c r="A52" s="301"/>
      <c r="B52" s="309"/>
      <c r="C52" s="301"/>
      <c r="D52" s="302"/>
      <c r="E52" s="447"/>
      <c r="F52" s="447"/>
      <c r="G52" s="13"/>
      <c r="H52" s="13"/>
    </row>
    <row r="53" spans="1:8" ht="39" x14ac:dyDescent="0.25">
      <c r="A53" s="299" t="s">
        <v>1751</v>
      </c>
      <c r="B53" s="299" t="s">
        <v>1752</v>
      </c>
      <c r="C53" s="299" t="s">
        <v>1027</v>
      </c>
      <c r="D53" s="300">
        <v>10</v>
      </c>
      <c r="E53" s="448" t="s">
        <v>1028</v>
      </c>
      <c r="F53" s="448" t="s">
        <v>1797</v>
      </c>
      <c r="G53" s="13"/>
      <c r="H53" s="13"/>
    </row>
    <row r="54" spans="1:8" ht="14.25" x14ac:dyDescent="0.3">
      <c r="A54" s="301">
        <v>21768</v>
      </c>
      <c r="B54" s="309" t="s">
        <v>1798</v>
      </c>
      <c r="C54" s="301" t="s">
        <v>680</v>
      </c>
      <c r="D54" s="302"/>
      <c r="E54" s="447">
        <v>79</v>
      </c>
      <c r="F54" s="447" t="s">
        <v>1799</v>
      </c>
      <c r="G54" s="13"/>
      <c r="H54" s="13"/>
    </row>
    <row r="55" spans="1:8" ht="14.25" x14ac:dyDescent="0.3">
      <c r="A55" s="301">
        <v>23072</v>
      </c>
      <c r="B55" s="309" t="s">
        <v>1800</v>
      </c>
      <c r="C55" s="301" t="s">
        <v>680</v>
      </c>
      <c r="D55" s="302"/>
      <c r="E55" s="447">
        <v>91</v>
      </c>
      <c r="F55" s="447" t="s">
        <v>1801</v>
      </c>
      <c r="G55" s="13"/>
      <c r="H55" s="13"/>
    </row>
    <row r="56" spans="1:8" ht="14.25" x14ac:dyDescent="0.3">
      <c r="A56" s="301"/>
      <c r="B56" s="309"/>
      <c r="C56" s="301"/>
      <c r="D56" s="302"/>
      <c r="E56" s="447"/>
      <c r="F56" s="447"/>
      <c r="G56" s="13"/>
      <c r="H56" s="13"/>
    </row>
    <row r="57" spans="1:8" ht="14.25" x14ac:dyDescent="0.3">
      <c r="A57" s="301"/>
      <c r="B57" s="309"/>
      <c r="C57" s="301"/>
      <c r="D57" s="302"/>
      <c r="E57" s="447"/>
      <c r="F57" s="447"/>
      <c r="G57" s="13"/>
      <c r="H57" s="13"/>
    </row>
    <row r="58" spans="1:8" ht="39" x14ac:dyDescent="0.25">
      <c r="A58" s="299" t="s">
        <v>1751</v>
      </c>
      <c r="B58" s="299" t="s">
        <v>1752</v>
      </c>
      <c r="C58" s="299" t="s">
        <v>1027</v>
      </c>
      <c r="D58" s="300">
        <v>11</v>
      </c>
      <c r="E58" s="448" t="s">
        <v>1028</v>
      </c>
      <c r="F58" s="448" t="s">
        <v>1802</v>
      </c>
      <c r="G58" s="13"/>
      <c r="H58" s="13"/>
    </row>
    <row r="59" spans="1:8" ht="14.25" x14ac:dyDescent="0.3">
      <c r="A59" s="301">
        <v>14074</v>
      </c>
      <c r="B59" s="309" t="s">
        <v>1803</v>
      </c>
      <c r="C59" s="301" t="s">
        <v>682</v>
      </c>
      <c r="D59" s="302"/>
      <c r="E59" s="447">
        <v>163</v>
      </c>
      <c r="F59" s="447" t="s">
        <v>1804</v>
      </c>
      <c r="G59" s="13"/>
      <c r="H59" s="13"/>
    </row>
    <row r="60" spans="1:8" ht="14.25" x14ac:dyDescent="0.3">
      <c r="A60" s="301">
        <v>96217</v>
      </c>
      <c r="B60" s="309" t="s">
        <v>1805</v>
      </c>
      <c r="C60" s="301" t="s">
        <v>682</v>
      </c>
      <c r="D60" s="302"/>
      <c r="E60" s="447">
        <v>108</v>
      </c>
      <c r="F60" s="447" t="s">
        <v>1806</v>
      </c>
      <c r="G60" s="13"/>
      <c r="H60" s="13"/>
    </row>
    <row r="61" spans="1:8" ht="14.25" x14ac:dyDescent="0.3">
      <c r="A61" s="301"/>
      <c r="B61" s="309"/>
      <c r="C61" s="301"/>
      <c r="D61" s="302"/>
      <c r="E61" s="447"/>
      <c r="F61" s="447"/>
      <c r="G61" s="13"/>
      <c r="H61" s="13"/>
    </row>
    <row r="62" spans="1:8" ht="14.25" x14ac:dyDescent="0.3">
      <c r="A62" s="301"/>
      <c r="B62" s="309"/>
      <c r="C62" s="301"/>
      <c r="D62" s="302"/>
      <c r="E62" s="447"/>
      <c r="F62" s="447"/>
      <c r="G62" s="13"/>
      <c r="H62" s="13"/>
    </row>
    <row r="63" spans="1:8" ht="39" x14ac:dyDescent="0.25">
      <c r="A63" s="299" t="s">
        <v>1751</v>
      </c>
      <c r="B63" s="299" t="s">
        <v>1752</v>
      </c>
      <c r="C63" s="299" t="s">
        <v>1027</v>
      </c>
      <c r="D63" s="300">
        <v>12</v>
      </c>
      <c r="E63" s="448" t="s">
        <v>1028</v>
      </c>
      <c r="F63" s="448" t="s">
        <v>1807</v>
      </c>
      <c r="G63" s="13"/>
      <c r="H63" s="13"/>
    </row>
    <row r="64" spans="1:8" ht="14.25" x14ac:dyDescent="0.3">
      <c r="A64" s="301">
        <v>29049</v>
      </c>
      <c r="B64" s="309" t="s">
        <v>1808</v>
      </c>
      <c r="C64" s="301" t="s">
        <v>1142</v>
      </c>
      <c r="D64" s="302"/>
      <c r="E64" s="447">
        <v>72</v>
      </c>
      <c r="F64" s="447" t="s">
        <v>1809</v>
      </c>
      <c r="G64" s="13"/>
      <c r="H64" s="13"/>
    </row>
    <row r="65" spans="1:8" ht="14.25" x14ac:dyDescent="0.3">
      <c r="A65" s="301">
        <v>15064</v>
      </c>
      <c r="B65" s="309" t="s">
        <v>1810</v>
      </c>
      <c r="C65" s="301" t="s">
        <v>1142</v>
      </c>
      <c r="D65" s="302"/>
      <c r="E65" s="447">
        <v>232</v>
      </c>
      <c r="F65" s="447" t="s">
        <v>1811</v>
      </c>
      <c r="G65" s="13"/>
      <c r="H65" s="13"/>
    </row>
    <row r="66" spans="1:8" ht="14.25" x14ac:dyDescent="0.3">
      <c r="A66" s="301"/>
      <c r="B66" s="309"/>
      <c r="C66" s="301"/>
      <c r="D66" s="302"/>
      <c r="E66" s="447"/>
      <c r="F66" s="447"/>
      <c r="G66" s="13"/>
      <c r="H66" s="13"/>
    </row>
    <row r="67" spans="1:8" ht="14.25" x14ac:dyDescent="0.3">
      <c r="A67" s="301"/>
      <c r="B67" s="309"/>
      <c r="C67" s="301"/>
      <c r="D67" s="302"/>
      <c r="E67" s="447"/>
      <c r="F67" s="447"/>
      <c r="G67" s="13"/>
      <c r="H67" s="13"/>
    </row>
    <row r="68" spans="1:8" ht="39" x14ac:dyDescent="0.25">
      <c r="A68" s="299" t="s">
        <v>1751</v>
      </c>
      <c r="B68" s="299" t="s">
        <v>1752</v>
      </c>
      <c r="C68" s="299" t="s">
        <v>1027</v>
      </c>
      <c r="D68" s="300">
        <v>13</v>
      </c>
      <c r="E68" s="448" t="s">
        <v>1028</v>
      </c>
      <c r="F68" s="448" t="s">
        <v>1812</v>
      </c>
      <c r="G68" s="13"/>
      <c r="H68" s="13"/>
    </row>
    <row r="69" spans="1:8" ht="14.25" x14ac:dyDescent="0.3">
      <c r="A69" s="301">
        <v>13044</v>
      </c>
      <c r="B69" s="309" t="s">
        <v>1813</v>
      </c>
      <c r="C69" s="301" t="s">
        <v>682</v>
      </c>
      <c r="D69" s="302"/>
      <c r="E69" s="447">
        <v>115</v>
      </c>
      <c r="F69" s="447" t="s">
        <v>1814</v>
      </c>
      <c r="G69" s="13"/>
      <c r="H69" s="13"/>
    </row>
    <row r="70" spans="1:8" ht="14.25" x14ac:dyDescent="0.3">
      <c r="A70" s="301">
        <v>25011</v>
      </c>
      <c r="B70" s="309" t="s">
        <v>1815</v>
      </c>
      <c r="C70" s="301" t="s">
        <v>779</v>
      </c>
      <c r="D70" s="302"/>
      <c r="E70" s="447">
        <v>134</v>
      </c>
      <c r="F70" s="447" t="s">
        <v>1816</v>
      </c>
      <c r="G70" s="13"/>
      <c r="H70" s="13"/>
    </row>
    <row r="71" spans="1:8" ht="14.25" x14ac:dyDescent="0.3">
      <c r="A71" s="301"/>
      <c r="B71" s="309"/>
      <c r="C71" s="301"/>
      <c r="D71" s="302"/>
      <c r="E71" s="447"/>
      <c r="F71" s="447"/>
      <c r="G71" s="13"/>
      <c r="H71" s="13"/>
    </row>
    <row r="72" spans="1:8" ht="14.25" x14ac:dyDescent="0.3">
      <c r="A72" s="301"/>
      <c r="B72" s="309"/>
      <c r="C72" s="301"/>
      <c r="D72" s="302"/>
      <c r="E72" s="447"/>
      <c r="F72" s="447"/>
      <c r="G72" s="13"/>
      <c r="H72" s="13"/>
    </row>
    <row r="73" spans="1:8" ht="39" x14ac:dyDescent="0.25">
      <c r="A73" s="299" t="s">
        <v>1751</v>
      </c>
      <c r="B73" s="299" t="s">
        <v>1752</v>
      </c>
      <c r="C73" s="299" t="s">
        <v>1027</v>
      </c>
      <c r="D73" s="300">
        <v>14</v>
      </c>
      <c r="E73" s="448" t="s">
        <v>1028</v>
      </c>
      <c r="F73" s="448" t="s">
        <v>1817</v>
      </c>
      <c r="G73" s="13"/>
      <c r="H73" s="13"/>
    </row>
    <row r="74" spans="1:8" ht="14.25" x14ac:dyDescent="0.3">
      <c r="A74" s="301">
        <v>10159</v>
      </c>
      <c r="B74" s="309" t="s">
        <v>1818</v>
      </c>
      <c r="C74" s="301" t="s">
        <v>1506</v>
      </c>
      <c r="D74" s="302"/>
      <c r="E74" s="447">
        <v>207</v>
      </c>
      <c r="F74" s="447" t="s">
        <v>1819</v>
      </c>
      <c r="G74" s="13"/>
      <c r="H74" s="13"/>
    </row>
    <row r="75" spans="1:8" ht="14.25" x14ac:dyDescent="0.3">
      <c r="A75" s="301">
        <v>10163</v>
      </c>
      <c r="B75" s="309" t="s">
        <v>1820</v>
      </c>
      <c r="C75" s="301" t="s">
        <v>1506</v>
      </c>
      <c r="D75" s="302"/>
      <c r="E75" s="447">
        <v>90</v>
      </c>
      <c r="F75" s="447" t="s">
        <v>1821</v>
      </c>
      <c r="G75" s="13"/>
      <c r="H75" s="13"/>
    </row>
    <row r="76" spans="1:8" ht="14.25" x14ac:dyDescent="0.3">
      <c r="A76" s="301"/>
      <c r="B76" s="309"/>
      <c r="C76" s="301"/>
      <c r="D76" s="302"/>
      <c r="E76" s="447"/>
      <c r="F76" s="447"/>
      <c r="G76" s="13"/>
      <c r="H76" s="13"/>
    </row>
    <row r="77" spans="1:8" ht="14.25" x14ac:dyDescent="0.3">
      <c r="A77" s="301"/>
      <c r="B77" s="309"/>
      <c r="C77" s="301"/>
      <c r="D77" s="302"/>
      <c r="E77" s="447"/>
      <c r="F77" s="447"/>
      <c r="G77" s="13"/>
      <c r="H77" s="13"/>
    </row>
    <row r="78" spans="1:8" ht="39" x14ac:dyDescent="0.25">
      <c r="A78" s="299" t="s">
        <v>1751</v>
      </c>
      <c r="B78" s="299" t="s">
        <v>1752</v>
      </c>
      <c r="C78" s="299" t="s">
        <v>1027</v>
      </c>
      <c r="D78" s="300">
        <v>15</v>
      </c>
      <c r="E78" s="448" t="s">
        <v>1028</v>
      </c>
      <c r="F78" s="448" t="s">
        <v>1822</v>
      </c>
      <c r="G78" s="13"/>
      <c r="H78" s="13"/>
    </row>
    <row r="79" spans="1:8" ht="14.25" x14ac:dyDescent="0.3">
      <c r="A79" s="301">
        <v>12083</v>
      </c>
      <c r="B79" s="309" t="s">
        <v>1823</v>
      </c>
      <c r="C79" s="301" t="s">
        <v>58</v>
      </c>
      <c r="D79" s="302"/>
      <c r="E79" s="447">
        <v>150</v>
      </c>
      <c r="F79" s="447" t="s">
        <v>1824</v>
      </c>
      <c r="G79" s="13"/>
      <c r="H79" s="13"/>
    </row>
    <row r="80" spans="1:8" ht="14.25" x14ac:dyDescent="0.3">
      <c r="A80" s="301">
        <v>12085</v>
      </c>
      <c r="B80" s="309" t="s">
        <v>1825</v>
      </c>
      <c r="C80" s="301" t="s">
        <v>58</v>
      </c>
      <c r="D80" s="302"/>
      <c r="E80" s="447">
        <v>162</v>
      </c>
      <c r="F80" s="447" t="s">
        <v>1826</v>
      </c>
      <c r="G80" s="13"/>
      <c r="H80" s="13"/>
    </row>
    <row r="81" spans="1:8" ht="14.25" x14ac:dyDescent="0.3">
      <c r="A81" s="301"/>
      <c r="B81" s="309"/>
      <c r="C81" s="301"/>
      <c r="D81" s="302"/>
      <c r="E81" s="447"/>
      <c r="F81" s="447"/>
      <c r="G81" s="13"/>
      <c r="H81" s="13"/>
    </row>
    <row r="82" spans="1:8" ht="14.25" x14ac:dyDescent="0.3">
      <c r="A82" s="301"/>
      <c r="B82" s="309"/>
      <c r="C82" s="301"/>
      <c r="D82" s="302"/>
      <c r="E82" s="447"/>
      <c r="F82" s="447"/>
      <c r="G82" s="13"/>
      <c r="H82" s="13"/>
    </row>
    <row r="83" spans="1:8" ht="39" x14ac:dyDescent="0.25">
      <c r="A83" s="299" t="s">
        <v>1751</v>
      </c>
      <c r="B83" s="299" t="s">
        <v>1752</v>
      </c>
      <c r="C83" s="299" t="s">
        <v>1027</v>
      </c>
      <c r="D83" s="300">
        <v>16</v>
      </c>
      <c r="E83" s="448" t="s">
        <v>1028</v>
      </c>
      <c r="F83" s="448" t="s">
        <v>1827</v>
      </c>
      <c r="G83" s="13"/>
      <c r="H83" s="13"/>
    </row>
    <row r="84" spans="1:8" ht="14.25" x14ac:dyDescent="0.3">
      <c r="A84" s="301">
        <v>23131</v>
      </c>
      <c r="B84" s="309" t="s">
        <v>1828</v>
      </c>
      <c r="C84" s="301" t="s">
        <v>1094</v>
      </c>
      <c r="D84" s="302"/>
      <c r="E84" s="447">
        <v>55</v>
      </c>
      <c r="F84" s="447" t="s">
        <v>1829</v>
      </c>
      <c r="G84" s="13"/>
      <c r="H84" s="13"/>
    </row>
    <row r="85" spans="1:8" ht="14.25" x14ac:dyDescent="0.3">
      <c r="A85" s="301">
        <v>23056</v>
      </c>
      <c r="B85" s="309" t="s">
        <v>1830</v>
      </c>
      <c r="C85" s="301" t="s">
        <v>1094</v>
      </c>
      <c r="D85" s="302"/>
      <c r="E85" s="447">
        <v>165</v>
      </c>
      <c r="F85" s="447" t="s">
        <v>1831</v>
      </c>
      <c r="G85" s="13"/>
      <c r="H85" s="13"/>
    </row>
    <row r="86" spans="1:8" ht="14.25" x14ac:dyDescent="0.3">
      <c r="A86" s="301"/>
      <c r="B86" s="309"/>
      <c r="C86" s="301"/>
      <c r="D86" s="302"/>
      <c r="E86" s="447"/>
      <c r="F86" s="447"/>
      <c r="G86" s="13"/>
      <c r="H86" s="13"/>
    </row>
    <row r="87" spans="1:8" ht="14.25" x14ac:dyDescent="0.3">
      <c r="A87" s="301"/>
      <c r="B87" s="309"/>
      <c r="C87" s="301"/>
      <c r="D87" s="302"/>
      <c r="E87" s="447"/>
      <c r="F87" s="447"/>
      <c r="G87" s="13"/>
      <c r="H87" s="13"/>
    </row>
    <row r="88" spans="1:8" ht="39" x14ac:dyDescent="0.25">
      <c r="A88" s="299" t="s">
        <v>1751</v>
      </c>
      <c r="B88" s="299" t="s">
        <v>1752</v>
      </c>
      <c r="C88" s="299" t="s">
        <v>1027</v>
      </c>
      <c r="D88" s="300">
        <v>17</v>
      </c>
      <c r="E88" s="448" t="s">
        <v>1028</v>
      </c>
      <c r="F88" s="448" t="s">
        <v>1832</v>
      </c>
      <c r="G88" s="13"/>
      <c r="H88" s="13"/>
    </row>
    <row r="89" spans="1:8" ht="14.25" x14ac:dyDescent="0.3">
      <c r="A89" s="301">
        <v>15067</v>
      </c>
      <c r="B89" s="309" t="s">
        <v>1833</v>
      </c>
      <c r="C89" s="301" t="s">
        <v>1506</v>
      </c>
      <c r="D89" s="302"/>
      <c r="E89" s="447">
        <v>124</v>
      </c>
      <c r="F89" s="447" t="s">
        <v>1834</v>
      </c>
      <c r="G89" s="13"/>
      <c r="H89" s="13"/>
    </row>
    <row r="90" spans="1:8" ht="14.25" x14ac:dyDescent="0.3">
      <c r="A90" s="301">
        <v>16010</v>
      </c>
      <c r="B90" s="309" t="s">
        <v>1835</v>
      </c>
      <c r="C90" s="301" t="s">
        <v>1506</v>
      </c>
      <c r="D90" s="302"/>
      <c r="E90" s="447">
        <v>209</v>
      </c>
      <c r="F90" s="447" t="s">
        <v>1836</v>
      </c>
      <c r="G90" s="13"/>
      <c r="H90" s="13"/>
    </row>
    <row r="91" spans="1:8" ht="14.25" x14ac:dyDescent="0.3">
      <c r="A91" s="301"/>
      <c r="B91" s="309"/>
      <c r="C91" s="301"/>
      <c r="D91" s="302"/>
      <c r="E91" s="447"/>
      <c r="F91" s="447"/>
      <c r="G91" s="13"/>
      <c r="H91" s="13"/>
    </row>
    <row r="92" spans="1:8" ht="14.25" x14ac:dyDescent="0.3">
      <c r="A92" s="301"/>
      <c r="B92" s="309"/>
      <c r="C92" s="301"/>
      <c r="D92" s="302"/>
      <c r="E92" s="447"/>
      <c r="F92" s="447"/>
      <c r="G92" s="13"/>
      <c r="H92" s="13"/>
    </row>
    <row r="93" spans="1:8" ht="39" x14ac:dyDescent="0.25">
      <c r="A93" s="299" t="s">
        <v>1751</v>
      </c>
      <c r="B93" s="299" t="s">
        <v>1752</v>
      </c>
      <c r="C93" s="299" t="s">
        <v>1027</v>
      </c>
      <c r="D93" s="300">
        <v>18</v>
      </c>
      <c r="E93" s="448" t="s">
        <v>1028</v>
      </c>
      <c r="F93" s="448" t="s">
        <v>1837</v>
      </c>
      <c r="G93" s="13"/>
      <c r="H93" s="13"/>
    </row>
    <row r="94" spans="1:8" ht="14.25" x14ac:dyDescent="0.3">
      <c r="A94" s="301">
        <v>15011</v>
      </c>
      <c r="B94" s="309" t="s">
        <v>1838</v>
      </c>
      <c r="C94" s="301" t="s">
        <v>1169</v>
      </c>
      <c r="D94" s="302"/>
      <c r="E94" s="447">
        <v>141</v>
      </c>
      <c r="F94" s="447" t="s">
        <v>1839</v>
      </c>
      <c r="G94" s="13"/>
      <c r="H94" s="13"/>
    </row>
    <row r="95" spans="1:8" ht="14.25" x14ac:dyDescent="0.3">
      <c r="A95" s="301">
        <v>15010</v>
      </c>
      <c r="B95" s="309" t="s">
        <v>1840</v>
      </c>
      <c r="C95" s="301" t="s">
        <v>1169</v>
      </c>
      <c r="D95" s="302"/>
      <c r="E95" s="447">
        <v>176</v>
      </c>
      <c r="F95" s="447" t="s">
        <v>1841</v>
      </c>
      <c r="G95" s="13"/>
      <c r="H95" s="13"/>
    </row>
    <row r="96" spans="1:8" ht="14.25" x14ac:dyDescent="0.3">
      <c r="A96" s="301"/>
      <c r="B96" s="309"/>
      <c r="C96" s="301"/>
      <c r="D96" s="302"/>
      <c r="E96" s="447"/>
      <c r="F96" s="447"/>
      <c r="G96" s="13"/>
      <c r="H96" s="13"/>
    </row>
    <row r="97" spans="1:8" ht="14.25" x14ac:dyDescent="0.3">
      <c r="A97" s="301"/>
      <c r="B97" s="309"/>
      <c r="C97" s="301"/>
      <c r="D97" s="302"/>
      <c r="E97" s="447"/>
      <c r="F97" s="447"/>
      <c r="G97" s="13"/>
      <c r="H97" s="13"/>
    </row>
    <row r="98" spans="1:8" ht="39" x14ac:dyDescent="0.25">
      <c r="A98" s="299" t="s">
        <v>1751</v>
      </c>
      <c r="B98" s="299" t="s">
        <v>1752</v>
      </c>
      <c r="C98" s="299" t="s">
        <v>1027</v>
      </c>
      <c r="D98" s="300">
        <v>19</v>
      </c>
      <c r="E98" s="448" t="s">
        <v>1028</v>
      </c>
      <c r="F98" s="448" t="s">
        <v>1842</v>
      </c>
      <c r="G98" s="13"/>
      <c r="H98" s="13"/>
    </row>
    <row r="99" spans="1:8" ht="14.25" x14ac:dyDescent="0.3">
      <c r="A99" s="301">
        <v>14079</v>
      </c>
      <c r="B99" s="309" t="s">
        <v>1843</v>
      </c>
      <c r="C99" s="301" t="s">
        <v>1437</v>
      </c>
      <c r="D99" s="302"/>
      <c r="E99" s="447">
        <v>107</v>
      </c>
      <c r="F99" s="447" t="s">
        <v>1844</v>
      </c>
      <c r="G99" s="13"/>
      <c r="H99" s="13"/>
    </row>
    <row r="100" spans="1:8" ht="14.25" x14ac:dyDescent="0.3">
      <c r="A100" s="301">
        <v>15028</v>
      </c>
      <c r="B100" s="309" t="s">
        <v>1845</v>
      </c>
      <c r="C100" s="301" t="s">
        <v>1437</v>
      </c>
      <c r="D100" s="302"/>
      <c r="E100" s="447">
        <v>187</v>
      </c>
      <c r="F100" s="447" t="s">
        <v>1846</v>
      </c>
      <c r="G100" s="13"/>
      <c r="H100" s="13"/>
    </row>
    <row r="101" spans="1:8" ht="14.25" x14ac:dyDescent="0.3">
      <c r="A101" s="301"/>
      <c r="B101" s="309"/>
      <c r="C101" s="301"/>
      <c r="D101" s="302"/>
      <c r="E101" s="447"/>
      <c r="F101" s="447"/>
      <c r="G101" s="13"/>
      <c r="H101" s="13"/>
    </row>
    <row r="102" spans="1:8" ht="14.25" x14ac:dyDescent="0.3">
      <c r="A102" s="301"/>
      <c r="B102" s="309"/>
      <c r="C102" s="301"/>
      <c r="D102" s="302"/>
      <c r="E102" s="447"/>
      <c r="F102" s="447"/>
      <c r="G102" s="13"/>
      <c r="H102" s="13"/>
    </row>
    <row r="103" spans="1:8" ht="39" x14ac:dyDescent="0.25">
      <c r="A103" s="299" t="s">
        <v>1751</v>
      </c>
      <c r="B103" s="299" t="s">
        <v>1752</v>
      </c>
      <c r="C103" s="299" t="s">
        <v>1027</v>
      </c>
      <c r="D103" s="300">
        <v>20</v>
      </c>
      <c r="E103" s="448" t="s">
        <v>1028</v>
      </c>
      <c r="F103" s="448" t="s">
        <v>1847</v>
      </c>
      <c r="G103" s="13"/>
      <c r="H103" s="13"/>
    </row>
    <row r="104" spans="1:8" ht="14.25" x14ac:dyDescent="0.3">
      <c r="A104" s="301">
        <v>13027</v>
      </c>
      <c r="B104" s="309" t="s">
        <v>1848</v>
      </c>
      <c r="C104" s="301" t="s">
        <v>1169</v>
      </c>
      <c r="D104" s="302"/>
      <c r="E104" s="447">
        <v>128</v>
      </c>
      <c r="F104" s="447" t="s">
        <v>1849</v>
      </c>
      <c r="G104" s="13"/>
      <c r="H104" s="13"/>
    </row>
    <row r="105" spans="1:8" ht="14.25" x14ac:dyDescent="0.3">
      <c r="A105" s="301">
        <v>13029</v>
      </c>
      <c r="B105" s="309" t="s">
        <v>1850</v>
      </c>
      <c r="C105" s="301" t="s">
        <v>1169</v>
      </c>
      <c r="D105" s="302"/>
      <c r="E105" s="447">
        <v>139</v>
      </c>
      <c r="F105" s="447" t="s">
        <v>1851</v>
      </c>
      <c r="G105" s="13"/>
      <c r="H105" s="13"/>
    </row>
    <row r="106" spans="1:8" ht="14.25" x14ac:dyDescent="0.3">
      <c r="A106" s="301"/>
      <c r="B106" s="309"/>
      <c r="C106" s="301"/>
      <c r="D106" s="302"/>
      <c r="E106" s="447"/>
      <c r="F106" s="447"/>
      <c r="G106" s="13"/>
      <c r="H106" s="13"/>
    </row>
    <row r="107" spans="1:8" ht="14.25" x14ac:dyDescent="0.3">
      <c r="A107" s="301"/>
      <c r="B107" s="309"/>
      <c r="C107" s="301"/>
      <c r="D107" s="302"/>
      <c r="E107" s="447"/>
      <c r="F107" s="447"/>
      <c r="G107" s="13"/>
      <c r="H107" s="13"/>
    </row>
    <row r="108" spans="1:8" ht="39" x14ac:dyDescent="0.25">
      <c r="A108" s="299" t="s">
        <v>1751</v>
      </c>
      <c r="B108" s="299" t="s">
        <v>1752</v>
      </c>
      <c r="C108" s="299" t="s">
        <v>1027</v>
      </c>
      <c r="D108" s="300">
        <v>21</v>
      </c>
      <c r="E108" s="448" t="s">
        <v>1028</v>
      </c>
      <c r="F108" s="448" t="s">
        <v>1852</v>
      </c>
      <c r="G108" s="13"/>
      <c r="H108" s="13"/>
    </row>
    <row r="109" spans="1:8" ht="14.25" x14ac:dyDescent="0.3">
      <c r="A109" s="301">
        <v>10044</v>
      </c>
      <c r="B109" s="309" t="s">
        <v>1853</v>
      </c>
      <c r="C109" s="301" t="s">
        <v>168</v>
      </c>
      <c r="D109" s="302"/>
      <c r="E109" s="447">
        <v>118</v>
      </c>
      <c r="F109" s="447" t="s">
        <v>1854</v>
      </c>
      <c r="G109" s="13"/>
      <c r="H109" s="13"/>
    </row>
    <row r="110" spans="1:8" ht="14.25" x14ac:dyDescent="0.3">
      <c r="A110" s="301">
        <v>12069</v>
      </c>
      <c r="B110" s="309" t="s">
        <v>1855</v>
      </c>
      <c r="C110" s="301" t="s">
        <v>168</v>
      </c>
      <c r="D110" s="302"/>
      <c r="E110" s="447">
        <v>195</v>
      </c>
      <c r="F110" s="447" t="s">
        <v>1856</v>
      </c>
      <c r="G110" s="13"/>
      <c r="H110" s="13"/>
    </row>
    <row r="111" spans="1:8" ht="14.25" x14ac:dyDescent="0.3">
      <c r="A111" s="301"/>
      <c r="B111" s="309"/>
      <c r="C111" s="301"/>
      <c r="D111" s="302"/>
      <c r="E111" s="447"/>
      <c r="F111" s="447"/>
      <c r="G111" s="13"/>
      <c r="H111" s="13"/>
    </row>
    <row r="112" spans="1:8" ht="14.25" x14ac:dyDescent="0.3">
      <c r="A112" s="301"/>
      <c r="B112" s="309"/>
      <c r="C112" s="301"/>
      <c r="D112" s="302"/>
      <c r="E112" s="447"/>
      <c r="F112" s="447"/>
      <c r="G112" s="13"/>
      <c r="H112" s="13"/>
    </row>
    <row r="113" spans="1:8" ht="39" x14ac:dyDescent="0.25">
      <c r="A113" s="299" t="s">
        <v>1751</v>
      </c>
      <c r="B113" s="299" t="s">
        <v>1752</v>
      </c>
      <c r="C113" s="299" t="s">
        <v>1027</v>
      </c>
      <c r="D113" s="300">
        <v>22</v>
      </c>
      <c r="E113" s="448" t="s">
        <v>1028</v>
      </c>
      <c r="F113" s="448" t="s">
        <v>1857</v>
      </c>
      <c r="G113" s="13"/>
      <c r="H113" s="13"/>
    </row>
    <row r="114" spans="1:8" ht="14.25" x14ac:dyDescent="0.3">
      <c r="A114" s="301">
        <v>15065</v>
      </c>
      <c r="B114" s="309" t="s">
        <v>1858</v>
      </c>
      <c r="C114" s="301" t="s">
        <v>722</v>
      </c>
      <c r="D114" s="302"/>
      <c r="E114" s="447">
        <v>142</v>
      </c>
      <c r="F114" s="447" t="s">
        <v>1859</v>
      </c>
      <c r="G114" s="13"/>
      <c r="H114" s="13"/>
    </row>
    <row r="115" spans="1:8" ht="14.25" x14ac:dyDescent="0.3">
      <c r="A115" s="301">
        <v>28051</v>
      </c>
      <c r="B115" s="309" t="s">
        <v>1860</v>
      </c>
      <c r="C115" s="301" t="s">
        <v>680</v>
      </c>
      <c r="D115" s="302"/>
      <c r="E115" s="447">
        <v>157</v>
      </c>
      <c r="F115" s="447" t="s">
        <v>1861</v>
      </c>
      <c r="G115" s="13"/>
      <c r="H115" s="13"/>
    </row>
    <row r="116" spans="1:8" ht="14.25" x14ac:dyDescent="0.3">
      <c r="A116" s="301"/>
      <c r="B116" s="309"/>
      <c r="C116" s="301"/>
      <c r="D116" s="302"/>
      <c r="E116" s="447"/>
      <c r="F116" s="447"/>
      <c r="G116" s="13"/>
      <c r="H116" s="13"/>
    </row>
    <row r="117" spans="1:8" ht="14.25" x14ac:dyDescent="0.3">
      <c r="A117" s="301"/>
      <c r="B117" s="309"/>
      <c r="C117" s="301"/>
      <c r="D117" s="302"/>
      <c r="E117" s="447"/>
      <c r="F117" s="447"/>
      <c r="G117" s="13"/>
      <c r="H117" s="13"/>
    </row>
    <row r="118" spans="1:8" ht="39" x14ac:dyDescent="0.25">
      <c r="A118" s="299" t="s">
        <v>1751</v>
      </c>
      <c r="B118" s="299" t="s">
        <v>1752</v>
      </c>
      <c r="C118" s="299" t="s">
        <v>1027</v>
      </c>
      <c r="D118" s="300">
        <v>23</v>
      </c>
      <c r="E118" s="448" t="s">
        <v>1028</v>
      </c>
      <c r="F118" s="448" t="s">
        <v>1862</v>
      </c>
      <c r="G118" s="13"/>
      <c r="H118" s="13"/>
    </row>
    <row r="119" spans="1:8" ht="14.25" x14ac:dyDescent="0.3">
      <c r="A119" s="301">
        <v>14100</v>
      </c>
      <c r="B119" s="309" t="s">
        <v>1863</v>
      </c>
      <c r="C119" s="301" t="s">
        <v>1142</v>
      </c>
      <c r="D119" s="302"/>
      <c r="E119" s="447">
        <v>188</v>
      </c>
      <c r="F119" s="447" t="s">
        <v>1864</v>
      </c>
      <c r="G119" s="13"/>
      <c r="H119" s="13"/>
    </row>
    <row r="120" spans="1:8" ht="14.25" x14ac:dyDescent="0.3">
      <c r="A120" s="301">
        <v>11048</v>
      </c>
      <c r="B120" s="309" t="s">
        <v>1865</v>
      </c>
      <c r="C120" s="301" t="s">
        <v>1142</v>
      </c>
      <c r="D120" s="302"/>
      <c r="E120" s="447">
        <v>184</v>
      </c>
      <c r="F120" s="447" t="s">
        <v>1866</v>
      </c>
      <c r="G120" s="13"/>
      <c r="H120" s="13"/>
    </row>
    <row r="121" spans="1:8" ht="14.25" x14ac:dyDescent="0.3">
      <c r="A121" s="301"/>
      <c r="B121" s="309"/>
      <c r="C121" s="301"/>
      <c r="D121" s="302"/>
      <c r="E121" s="447"/>
      <c r="F121" s="447"/>
      <c r="G121" s="13"/>
      <c r="H121" s="13"/>
    </row>
    <row r="122" spans="1:8" ht="14.25" x14ac:dyDescent="0.3">
      <c r="A122" s="301"/>
      <c r="B122" s="309"/>
      <c r="C122" s="301"/>
      <c r="D122" s="302"/>
      <c r="E122" s="447"/>
      <c r="F122" s="447"/>
      <c r="G122" s="13"/>
      <c r="H122" s="13"/>
    </row>
    <row r="123" spans="1:8" ht="39" x14ac:dyDescent="0.25">
      <c r="A123" s="299" t="s">
        <v>1751</v>
      </c>
      <c r="B123" s="299" t="s">
        <v>1752</v>
      </c>
      <c r="C123" s="299" t="s">
        <v>1027</v>
      </c>
      <c r="D123" s="300">
        <v>24</v>
      </c>
      <c r="E123" s="448" t="s">
        <v>1028</v>
      </c>
      <c r="F123" s="448" t="s">
        <v>1867</v>
      </c>
      <c r="G123" s="13"/>
      <c r="H123" s="13"/>
    </row>
    <row r="124" spans="1:8" ht="14.25" x14ac:dyDescent="0.3">
      <c r="A124" s="301">
        <v>15026</v>
      </c>
      <c r="B124" s="309" t="s">
        <v>1868</v>
      </c>
      <c r="C124" s="301" t="s">
        <v>1142</v>
      </c>
      <c r="D124" s="302"/>
      <c r="E124" s="447">
        <v>293</v>
      </c>
      <c r="F124" s="447" t="s">
        <v>1869</v>
      </c>
      <c r="G124" s="13"/>
      <c r="H124" s="13"/>
    </row>
    <row r="125" spans="1:8" ht="14.25" x14ac:dyDescent="0.3">
      <c r="A125" s="301">
        <v>29058</v>
      </c>
      <c r="B125" s="309" t="s">
        <v>1870</v>
      </c>
      <c r="C125" s="301" t="s">
        <v>1142</v>
      </c>
      <c r="D125" s="302"/>
      <c r="E125" s="447">
        <v>80</v>
      </c>
      <c r="F125" s="447" t="s">
        <v>1871</v>
      </c>
      <c r="G125" s="13"/>
      <c r="H125" s="13"/>
    </row>
    <row r="126" spans="1:8" ht="14.25" x14ac:dyDescent="0.3">
      <c r="A126" s="301"/>
      <c r="B126" s="309"/>
      <c r="C126" s="301"/>
      <c r="D126" s="302"/>
      <c r="E126" s="447"/>
      <c r="F126" s="447"/>
      <c r="G126" s="13"/>
      <c r="H126" s="13"/>
    </row>
    <row r="127" spans="1:8" ht="14.25" x14ac:dyDescent="0.3">
      <c r="A127" s="301"/>
      <c r="B127" s="309"/>
      <c r="C127" s="301"/>
      <c r="D127" s="302"/>
      <c r="E127" s="447"/>
      <c r="F127" s="447"/>
      <c r="G127" s="13"/>
      <c r="H127" s="13"/>
    </row>
    <row r="128" spans="1:8" ht="39" x14ac:dyDescent="0.25">
      <c r="A128" s="299" t="s">
        <v>1751</v>
      </c>
      <c r="B128" s="299" t="s">
        <v>1752</v>
      </c>
      <c r="C128" s="299" t="s">
        <v>1027</v>
      </c>
      <c r="D128" s="300">
        <v>25</v>
      </c>
      <c r="E128" s="448" t="s">
        <v>1028</v>
      </c>
      <c r="F128" s="448" t="s">
        <v>1872</v>
      </c>
      <c r="G128" s="13"/>
      <c r="H128" s="13"/>
    </row>
    <row r="129" spans="1:8" ht="14.25" x14ac:dyDescent="0.3">
      <c r="A129" s="301">
        <v>25075</v>
      </c>
      <c r="B129" s="309" t="s">
        <v>1873</v>
      </c>
      <c r="C129" s="301" t="s">
        <v>779</v>
      </c>
      <c r="D129" s="302"/>
      <c r="E129" s="447">
        <v>131</v>
      </c>
      <c r="F129" s="447" t="s">
        <v>1874</v>
      </c>
      <c r="G129" s="13"/>
      <c r="H129" s="13"/>
    </row>
    <row r="130" spans="1:8" ht="14.25" x14ac:dyDescent="0.3">
      <c r="A130" s="301">
        <v>25015</v>
      </c>
      <c r="B130" s="309" t="s">
        <v>1875</v>
      </c>
      <c r="C130" s="301" t="s">
        <v>779</v>
      </c>
      <c r="D130" s="302"/>
      <c r="E130" s="447">
        <v>164</v>
      </c>
      <c r="F130" s="447" t="s">
        <v>1876</v>
      </c>
      <c r="G130" s="13"/>
      <c r="H130" s="13"/>
    </row>
    <row r="131" spans="1:8" ht="14.25" x14ac:dyDescent="0.3">
      <c r="A131" s="301"/>
      <c r="B131" s="309"/>
      <c r="C131" s="301"/>
      <c r="D131" s="302"/>
      <c r="E131" s="447"/>
      <c r="F131" s="447"/>
      <c r="G131" s="13"/>
      <c r="H131" s="13"/>
    </row>
    <row r="132" spans="1:8" ht="14.25" x14ac:dyDescent="0.3">
      <c r="A132" s="301"/>
      <c r="B132" s="309"/>
      <c r="C132" s="301"/>
      <c r="D132" s="302"/>
      <c r="E132" s="447"/>
      <c r="F132" s="447"/>
      <c r="G132" s="13"/>
      <c r="H132" s="13"/>
    </row>
    <row r="133" spans="1:8" ht="39" x14ac:dyDescent="0.25">
      <c r="A133" s="299" t="s">
        <v>1751</v>
      </c>
      <c r="B133" s="299" t="s">
        <v>1752</v>
      </c>
      <c r="C133" s="299" t="s">
        <v>1027</v>
      </c>
      <c r="D133" s="300">
        <v>26</v>
      </c>
      <c r="E133" s="448" t="s">
        <v>1028</v>
      </c>
      <c r="F133" s="448" t="s">
        <v>1877</v>
      </c>
      <c r="G133" s="13"/>
      <c r="H133" s="13"/>
    </row>
    <row r="134" spans="1:8" ht="14.25" x14ac:dyDescent="0.3">
      <c r="A134" s="301">
        <v>15033</v>
      </c>
      <c r="B134" s="309" t="s">
        <v>1878</v>
      </c>
      <c r="C134" s="301" t="s">
        <v>58</v>
      </c>
      <c r="D134" s="302"/>
      <c r="E134" s="447">
        <v>216</v>
      </c>
      <c r="F134" s="447" t="s">
        <v>1879</v>
      </c>
      <c r="G134" s="13"/>
      <c r="H134" s="13"/>
    </row>
    <row r="135" spans="1:8" ht="14.25" x14ac:dyDescent="0.3">
      <c r="A135" s="301">
        <v>15034</v>
      </c>
      <c r="B135" s="309" t="s">
        <v>1880</v>
      </c>
      <c r="C135" s="301" t="s">
        <v>58</v>
      </c>
      <c r="D135" s="302"/>
      <c r="E135" s="447">
        <v>226</v>
      </c>
      <c r="F135" s="447" t="s">
        <v>1881</v>
      </c>
      <c r="G135" s="13"/>
      <c r="H135" s="13"/>
    </row>
    <row r="136" spans="1:8" ht="14.25" x14ac:dyDescent="0.3">
      <c r="A136" s="301"/>
      <c r="B136" s="309"/>
      <c r="C136" s="301"/>
      <c r="D136" s="302"/>
      <c r="E136" s="447"/>
      <c r="F136" s="447"/>
      <c r="G136" s="13"/>
      <c r="H136" s="13"/>
    </row>
    <row r="137" spans="1:8" ht="14.25" x14ac:dyDescent="0.3">
      <c r="A137" s="301"/>
      <c r="B137" s="309"/>
      <c r="C137" s="301"/>
      <c r="D137" s="302"/>
      <c r="E137" s="447"/>
      <c r="F137" s="447"/>
      <c r="G137" s="13"/>
      <c r="H137" s="13"/>
    </row>
    <row r="138" spans="1:8" ht="39" x14ac:dyDescent="0.25">
      <c r="A138" s="299" t="s">
        <v>1751</v>
      </c>
      <c r="B138" s="299" t="s">
        <v>1752</v>
      </c>
      <c r="C138" s="299" t="s">
        <v>1027</v>
      </c>
      <c r="D138" s="300">
        <v>27</v>
      </c>
      <c r="E138" s="448" t="s">
        <v>1028</v>
      </c>
      <c r="F138" s="448" t="s">
        <v>1882</v>
      </c>
      <c r="G138" s="13"/>
      <c r="H138" s="13"/>
    </row>
    <row r="139" spans="1:8" ht="14.25" x14ac:dyDescent="0.3">
      <c r="A139" s="301">
        <v>14028</v>
      </c>
      <c r="B139" s="309" t="s">
        <v>1883</v>
      </c>
      <c r="C139" s="301" t="s">
        <v>1506</v>
      </c>
      <c r="D139" s="302"/>
      <c r="E139" s="447">
        <v>205</v>
      </c>
      <c r="F139" s="447" t="s">
        <v>1884</v>
      </c>
      <c r="G139" s="13"/>
      <c r="H139" s="13"/>
    </row>
    <row r="140" spans="1:8" ht="14.25" x14ac:dyDescent="0.3">
      <c r="A140" s="301">
        <v>14068</v>
      </c>
      <c r="B140" s="309" t="s">
        <v>1885</v>
      </c>
      <c r="C140" s="301" t="s">
        <v>1506</v>
      </c>
      <c r="D140" s="302"/>
      <c r="E140" s="447">
        <v>211</v>
      </c>
      <c r="F140" s="447" t="s">
        <v>1886</v>
      </c>
      <c r="G140" s="13"/>
      <c r="H140" s="13"/>
    </row>
    <row r="141" spans="1:8" ht="14.25" x14ac:dyDescent="0.3">
      <c r="A141" s="301"/>
      <c r="B141" s="309"/>
      <c r="C141" s="301"/>
      <c r="D141" s="302"/>
      <c r="E141" s="447"/>
      <c r="F141" s="447"/>
      <c r="G141" s="13"/>
      <c r="H141" s="13"/>
    </row>
    <row r="142" spans="1:8" ht="14.25" x14ac:dyDescent="0.3">
      <c r="A142" s="301"/>
      <c r="B142" s="309"/>
      <c r="C142" s="301"/>
      <c r="D142" s="302"/>
      <c r="E142" s="447"/>
      <c r="F142" s="447"/>
      <c r="G142" s="13"/>
      <c r="H142" s="13"/>
    </row>
    <row r="143" spans="1:8" ht="39" x14ac:dyDescent="0.25">
      <c r="A143" s="299" t="s">
        <v>1751</v>
      </c>
      <c r="B143" s="299" t="s">
        <v>1752</v>
      </c>
      <c r="C143" s="299" t="s">
        <v>1027</v>
      </c>
      <c r="D143" s="300">
        <v>28</v>
      </c>
      <c r="E143" s="448" t="s">
        <v>1028</v>
      </c>
      <c r="F143" s="448" t="s">
        <v>1887</v>
      </c>
      <c r="G143" s="13"/>
      <c r="H143" s="13"/>
    </row>
    <row r="144" spans="1:8" ht="14.25" x14ac:dyDescent="0.3">
      <c r="A144" s="301">
        <v>96216</v>
      </c>
      <c r="B144" s="309" t="s">
        <v>1888</v>
      </c>
      <c r="C144" s="301" t="s">
        <v>1104</v>
      </c>
      <c r="D144" s="302"/>
      <c r="E144" s="447">
        <v>166</v>
      </c>
      <c r="F144" s="447" t="s">
        <v>1889</v>
      </c>
      <c r="G144" s="13"/>
      <c r="H144" s="13"/>
    </row>
    <row r="145" spans="1:8" ht="14.25" x14ac:dyDescent="0.3">
      <c r="A145" s="301">
        <v>16108</v>
      </c>
      <c r="B145" s="309" t="s">
        <v>1890</v>
      </c>
      <c r="C145" s="301" t="s">
        <v>1104</v>
      </c>
      <c r="D145" s="302"/>
      <c r="E145" s="447">
        <v>411</v>
      </c>
      <c r="F145" s="447" t="s">
        <v>1891</v>
      </c>
      <c r="G145" s="13"/>
      <c r="H145" s="13"/>
    </row>
    <row r="146" spans="1:8" ht="14.25" x14ac:dyDescent="0.3">
      <c r="A146" s="301"/>
      <c r="B146" s="309"/>
      <c r="C146" s="301"/>
      <c r="D146" s="302"/>
      <c r="E146" s="447"/>
      <c r="F146" s="447"/>
      <c r="G146" s="13"/>
      <c r="H146" s="13"/>
    </row>
    <row r="147" spans="1:8" ht="14.25" x14ac:dyDescent="0.3">
      <c r="A147" s="301"/>
      <c r="B147" s="309"/>
      <c r="C147" s="301"/>
      <c r="D147" s="302"/>
      <c r="E147" s="447"/>
      <c r="F147" s="447"/>
      <c r="G147" s="13"/>
      <c r="H147" s="13"/>
    </row>
    <row r="148" spans="1:8" ht="39" x14ac:dyDescent="0.25">
      <c r="A148" s="299" t="s">
        <v>1751</v>
      </c>
      <c r="B148" s="299" t="s">
        <v>1752</v>
      </c>
      <c r="C148" s="299" t="s">
        <v>1027</v>
      </c>
      <c r="D148" s="300">
        <v>29</v>
      </c>
      <c r="E148" s="448" t="s">
        <v>1028</v>
      </c>
      <c r="F148" s="448" t="s">
        <v>1892</v>
      </c>
      <c r="G148" s="13"/>
      <c r="H148" s="13"/>
    </row>
    <row r="149" spans="1:8" ht="14.25" x14ac:dyDescent="0.3">
      <c r="A149" s="301">
        <v>12079</v>
      </c>
      <c r="B149" s="309" t="s">
        <v>1893</v>
      </c>
      <c r="C149" s="301" t="s">
        <v>58</v>
      </c>
      <c r="D149" s="302"/>
      <c r="E149" s="447">
        <v>214</v>
      </c>
      <c r="F149" s="447" t="s">
        <v>1894</v>
      </c>
      <c r="G149" s="13"/>
      <c r="H149" s="13"/>
    </row>
    <row r="150" spans="1:8" ht="14.25" x14ac:dyDescent="0.3">
      <c r="A150" s="301">
        <v>12080</v>
      </c>
      <c r="B150" s="309" t="s">
        <v>1895</v>
      </c>
      <c r="C150" s="301" t="s">
        <v>58</v>
      </c>
      <c r="D150" s="302"/>
      <c r="E150" s="447">
        <v>261</v>
      </c>
      <c r="F150" s="447" t="s">
        <v>1896</v>
      </c>
      <c r="G150" s="13"/>
      <c r="H150" s="13"/>
    </row>
    <row r="151" spans="1:8" ht="14.25" x14ac:dyDescent="0.3">
      <c r="A151" s="301"/>
      <c r="B151" s="309"/>
      <c r="C151" s="301"/>
      <c r="D151" s="302"/>
      <c r="E151" s="447"/>
      <c r="F151" s="447"/>
      <c r="G151" s="13"/>
      <c r="H151" s="13"/>
    </row>
    <row r="152" spans="1:8" ht="14.25" x14ac:dyDescent="0.3">
      <c r="A152" s="301"/>
      <c r="B152" s="309"/>
      <c r="C152" s="301"/>
      <c r="D152" s="302"/>
      <c r="E152" s="447"/>
      <c r="F152" s="447"/>
      <c r="G152" s="13"/>
      <c r="H152" s="13"/>
    </row>
    <row r="153" spans="1:8" ht="39" x14ac:dyDescent="0.25">
      <c r="A153" s="299" t="s">
        <v>1751</v>
      </c>
      <c r="B153" s="299" t="s">
        <v>1752</v>
      </c>
      <c r="C153" s="299" t="s">
        <v>1027</v>
      </c>
      <c r="D153" s="300">
        <v>30</v>
      </c>
      <c r="E153" s="448" t="s">
        <v>1028</v>
      </c>
      <c r="F153" s="448" t="s">
        <v>1897</v>
      </c>
      <c r="G153" s="13"/>
      <c r="H153" s="13"/>
    </row>
    <row r="154" spans="1:8" ht="14.25" x14ac:dyDescent="0.3">
      <c r="A154" s="301">
        <v>12031</v>
      </c>
      <c r="B154" s="309" t="s">
        <v>1898</v>
      </c>
      <c r="C154" s="301" t="s">
        <v>58</v>
      </c>
      <c r="D154" s="302"/>
      <c r="E154" s="447">
        <v>279</v>
      </c>
      <c r="F154" s="447" t="s">
        <v>1899</v>
      </c>
      <c r="G154" s="13"/>
      <c r="H154" s="13"/>
    </row>
    <row r="155" spans="1:8" ht="14.25" x14ac:dyDescent="0.3">
      <c r="A155" s="301">
        <v>12035</v>
      </c>
      <c r="B155" s="309" t="s">
        <v>1900</v>
      </c>
      <c r="C155" s="301" t="s">
        <v>58</v>
      </c>
      <c r="D155" s="302"/>
      <c r="E155" s="447">
        <v>275</v>
      </c>
      <c r="F155" s="447" t="s">
        <v>1901</v>
      </c>
      <c r="G155" s="13"/>
      <c r="H155" s="13"/>
    </row>
    <row r="156" spans="1:8" ht="14.25" x14ac:dyDescent="0.3">
      <c r="A156" s="301"/>
      <c r="B156" s="309"/>
      <c r="C156" s="301"/>
      <c r="D156" s="302"/>
      <c r="E156" s="447"/>
      <c r="F156" s="447"/>
      <c r="G156" s="13"/>
      <c r="H156" s="13"/>
    </row>
    <row r="157" spans="1:8" ht="14.25" x14ac:dyDescent="0.3">
      <c r="A157" s="301"/>
      <c r="B157" s="309"/>
      <c r="C157" s="301"/>
      <c r="D157" s="302"/>
      <c r="E157" s="447"/>
      <c r="F157" s="447"/>
      <c r="G157" s="13"/>
      <c r="H157" s="13"/>
    </row>
    <row r="158" spans="1:8" ht="39" x14ac:dyDescent="0.25">
      <c r="A158" s="299" t="s">
        <v>1751</v>
      </c>
      <c r="B158" s="299" t="s">
        <v>1752</v>
      </c>
      <c r="C158" s="299" t="s">
        <v>1027</v>
      </c>
      <c r="D158" s="300">
        <v>31</v>
      </c>
      <c r="E158" s="448" t="s">
        <v>1028</v>
      </c>
      <c r="F158" s="448" t="s">
        <v>1902</v>
      </c>
      <c r="G158" s="13"/>
      <c r="H158" s="13"/>
    </row>
    <row r="159" spans="1:8" ht="14.25" x14ac:dyDescent="0.3">
      <c r="A159" s="301">
        <v>14081</v>
      </c>
      <c r="B159" s="309" t="s">
        <v>1903</v>
      </c>
      <c r="C159" s="301" t="s">
        <v>1437</v>
      </c>
      <c r="D159" s="302"/>
      <c r="E159" s="447">
        <v>171</v>
      </c>
      <c r="F159" s="447" t="s">
        <v>1904</v>
      </c>
      <c r="G159" s="13"/>
      <c r="H159" s="13"/>
    </row>
    <row r="160" spans="1:8" ht="14.25" x14ac:dyDescent="0.3">
      <c r="A160" s="301">
        <v>16118</v>
      </c>
      <c r="B160" s="309" t="s">
        <v>1905</v>
      </c>
      <c r="C160" s="301" t="s">
        <v>1437</v>
      </c>
      <c r="D160" s="302"/>
      <c r="E160" s="447">
        <v>259</v>
      </c>
      <c r="F160" s="447" t="s">
        <v>1906</v>
      </c>
      <c r="G160" s="13"/>
      <c r="H160" s="13"/>
    </row>
    <row r="161" spans="1:8" ht="14.25" x14ac:dyDescent="0.3">
      <c r="A161" s="301"/>
      <c r="B161" s="309"/>
      <c r="C161" s="301"/>
      <c r="D161" s="302"/>
      <c r="E161" s="447"/>
      <c r="F161" s="447"/>
      <c r="G161" s="13"/>
      <c r="H161" s="13"/>
    </row>
    <row r="162" spans="1:8" ht="14.25" x14ac:dyDescent="0.3">
      <c r="A162" s="301"/>
      <c r="B162" s="309"/>
      <c r="C162" s="301"/>
      <c r="D162" s="302"/>
      <c r="E162" s="447"/>
      <c r="F162" s="447"/>
      <c r="G162" s="13"/>
      <c r="H162" s="13"/>
    </row>
    <row r="163" spans="1:8" ht="39" x14ac:dyDescent="0.25">
      <c r="A163" s="299" t="s">
        <v>1751</v>
      </c>
      <c r="B163" s="299" t="s">
        <v>1752</v>
      </c>
      <c r="C163" s="299" t="s">
        <v>1027</v>
      </c>
      <c r="D163" s="300">
        <v>32</v>
      </c>
      <c r="E163" s="448" t="s">
        <v>1028</v>
      </c>
      <c r="F163" s="448" t="s">
        <v>1907</v>
      </c>
      <c r="G163" s="13"/>
      <c r="H163" s="13"/>
    </row>
    <row r="164" spans="1:8" ht="14.25" x14ac:dyDescent="0.3">
      <c r="A164" s="301">
        <v>12042</v>
      </c>
      <c r="B164" s="309" t="s">
        <v>1908</v>
      </c>
      <c r="C164" s="301" t="s">
        <v>58</v>
      </c>
      <c r="D164" s="302"/>
      <c r="E164" s="447">
        <v>126</v>
      </c>
      <c r="F164" s="447" t="s">
        <v>1909</v>
      </c>
      <c r="G164" s="13"/>
      <c r="H164" s="13"/>
    </row>
    <row r="165" spans="1:8" ht="14.25" x14ac:dyDescent="0.3">
      <c r="A165" s="301">
        <v>16109</v>
      </c>
      <c r="B165" s="309" t="s">
        <v>1910</v>
      </c>
      <c r="C165" s="301"/>
      <c r="D165" s="302" t="s">
        <v>1911</v>
      </c>
      <c r="E165" s="447"/>
      <c r="F165" s="447">
        <v>0</v>
      </c>
      <c r="G165" s="13"/>
      <c r="H165" s="13"/>
    </row>
    <row r="166" spans="1:8" ht="14.25" x14ac:dyDescent="0.3">
      <c r="A166" s="301"/>
      <c r="B166" s="309"/>
      <c r="C166" s="301"/>
      <c r="D166" s="302"/>
      <c r="E166" s="447"/>
      <c r="F166" s="447"/>
      <c r="G166" s="13"/>
      <c r="H166" s="13"/>
    </row>
    <row r="167" spans="1:8" ht="14.25" x14ac:dyDescent="0.3">
      <c r="A167" s="301"/>
      <c r="B167" s="309"/>
      <c r="C167" s="301"/>
      <c r="D167" s="302"/>
      <c r="E167" s="447"/>
      <c r="F167" s="447"/>
      <c r="G167" s="13"/>
      <c r="H167" s="13"/>
    </row>
    <row r="168" spans="1:8" ht="39" x14ac:dyDescent="0.25">
      <c r="A168" s="299" t="s">
        <v>1751</v>
      </c>
      <c r="B168" s="299" t="s">
        <v>1752</v>
      </c>
      <c r="C168" s="299" t="s">
        <v>1027</v>
      </c>
      <c r="D168" s="300">
        <v>33</v>
      </c>
      <c r="E168" s="448" t="s">
        <v>1028</v>
      </c>
      <c r="F168" s="448" t="s">
        <v>1912</v>
      </c>
      <c r="G168" s="13"/>
      <c r="H168" s="13"/>
    </row>
    <row r="169" spans="1:8" ht="14.25" x14ac:dyDescent="0.3">
      <c r="A169" s="301">
        <v>29060</v>
      </c>
      <c r="B169" s="309" t="s">
        <v>1913</v>
      </c>
      <c r="C169" s="301" t="s">
        <v>1142</v>
      </c>
      <c r="D169" s="302"/>
      <c r="E169" s="447">
        <v>440</v>
      </c>
      <c r="F169" s="447" t="s">
        <v>1914</v>
      </c>
      <c r="G169" s="13"/>
      <c r="H169" s="13"/>
    </row>
    <row r="170" spans="1:8" ht="14.25" x14ac:dyDescent="0.3">
      <c r="A170" s="301">
        <v>29052</v>
      </c>
      <c r="B170" s="309" t="s">
        <v>1915</v>
      </c>
      <c r="C170" s="301" t="s">
        <v>1142</v>
      </c>
      <c r="D170" s="302"/>
      <c r="E170" s="447">
        <v>296</v>
      </c>
      <c r="F170" s="447" t="s">
        <v>1916</v>
      </c>
      <c r="G170" s="13"/>
      <c r="H170" s="13"/>
    </row>
    <row r="171" spans="1:8" ht="14.25" x14ac:dyDescent="0.3">
      <c r="A171" s="301"/>
      <c r="B171" s="309"/>
      <c r="C171" s="301"/>
      <c r="D171" s="302"/>
      <c r="E171" s="447"/>
      <c r="F171" s="447"/>
      <c r="G171" s="13"/>
      <c r="H171" s="13"/>
    </row>
    <row r="172" spans="1:8" ht="14.25" x14ac:dyDescent="0.3">
      <c r="A172" s="301"/>
      <c r="B172" s="309"/>
      <c r="C172" s="301"/>
      <c r="D172" s="302"/>
      <c r="E172" s="447"/>
      <c r="F172" s="447"/>
      <c r="G172" s="13"/>
      <c r="H172" s="13"/>
    </row>
    <row r="173" spans="1:8" ht="39" x14ac:dyDescent="0.25">
      <c r="A173" s="299" t="s">
        <v>1751</v>
      </c>
      <c r="B173" s="299" t="s">
        <v>1752</v>
      </c>
      <c r="C173" s="299" t="s">
        <v>1027</v>
      </c>
      <c r="D173" s="300">
        <v>34</v>
      </c>
      <c r="E173" s="448" t="s">
        <v>1028</v>
      </c>
      <c r="F173" s="448" t="s">
        <v>1917</v>
      </c>
      <c r="G173" s="13"/>
      <c r="H173" s="13"/>
    </row>
    <row r="174" spans="1:8" ht="14.25" x14ac:dyDescent="0.3">
      <c r="A174" s="301">
        <v>13079</v>
      </c>
      <c r="B174" s="309" t="s">
        <v>1918</v>
      </c>
      <c r="C174" s="301" t="s">
        <v>722</v>
      </c>
      <c r="D174" s="302"/>
      <c r="E174" s="447">
        <v>348</v>
      </c>
      <c r="F174" s="447" t="s">
        <v>1919</v>
      </c>
      <c r="G174" s="13"/>
      <c r="H174" s="13"/>
    </row>
    <row r="175" spans="1:8" ht="14.25" x14ac:dyDescent="0.3">
      <c r="A175" s="301">
        <v>15042</v>
      </c>
      <c r="B175" s="309" t="s">
        <v>1920</v>
      </c>
      <c r="C175" s="301" t="s">
        <v>722</v>
      </c>
      <c r="D175" s="302"/>
      <c r="E175" s="447">
        <v>349</v>
      </c>
      <c r="F175" s="447" t="s">
        <v>1921</v>
      </c>
      <c r="G175" s="13"/>
      <c r="H175" s="13"/>
    </row>
    <row r="176" spans="1:8" ht="14.25" x14ac:dyDescent="0.3">
      <c r="A176" s="301"/>
      <c r="B176" s="309"/>
      <c r="C176" s="301"/>
      <c r="D176" s="302"/>
      <c r="E176" s="447"/>
      <c r="F176" s="447"/>
      <c r="G176" s="13"/>
      <c r="H176" s="13"/>
    </row>
    <row r="177" spans="1:8" ht="14.25" x14ac:dyDescent="0.3">
      <c r="A177" s="301"/>
      <c r="B177" s="309"/>
      <c r="C177" s="301"/>
      <c r="D177" s="302"/>
      <c r="E177" s="447"/>
      <c r="F177" s="447"/>
      <c r="G177" s="13"/>
      <c r="H177" s="13"/>
    </row>
    <row r="178" spans="1:8" ht="39" x14ac:dyDescent="0.25">
      <c r="A178" s="299" t="s">
        <v>1751</v>
      </c>
      <c r="B178" s="299" t="s">
        <v>1752</v>
      </c>
      <c r="C178" s="299" t="s">
        <v>1027</v>
      </c>
      <c r="D178" s="300">
        <v>35</v>
      </c>
      <c r="E178" s="448" t="s">
        <v>1028</v>
      </c>
      <c r="F178" s="448" t="s">
        <v>1922</v>
      </c>
      <c r="G178" s="13"/>
      <c r="H178" s="13"/>
    </row>
    <row r="179" spans="1:8" ht="14.25" x14ac:dyDescent="0.3">
      <c r="A179" s="301">
        <v>16058</v>
      </c>
      <c r="B179" s="309" t="s">
        <v>1923</v>
      </c>
      <c r="C179" s="301" t="s">
        <v>1524</v>
      </c>
      <c r="D179" s="302"/>
      <c r="E179" s="447">
        <v>298</v>
      </c>
      <c r="F179" s="447" t="s">
        <v>1924</v>
      </c>
      <c r="G179" s="13"/>
      <c r="H179" s="13"/>
    </row>
    <row r="180" spans="1:8" ht="14.25" x14ac:dyDescent="0.3">
      <c r="A180" s="301">
        <v>16059</v>
      </c>
      <c r="B180" s="309" t="s">
        <v>1925</v>
      </c>
      <c r="C180" s="301" t="s">
        <v>1524</v>
      </c>
      <c r="D180" s="302"/>
      <c r="E180" s="447">
        <v>332</v>
      </c>
      <c r="F180" s="447" t="s">
        <v>1926</v>
      </c>
      <c r="G180" s="13"/>
      <c r="H180" s="13"/>
    </row>
    <row r="181" spans="1:8" ht="14.25" x14ac:dyDescent="0.3">
      <c r="A181" s="301"/>
      <c r="B181" s="309"/>
      <c r="C181" s="301"/>
      <c r="D181" s="302"/>
      <c r="E181" s="447"/>
      <c r="F181" s="447"/>
      <c r="G181" s="13"/>
      <c r="H181" s="13"/>
    </row>
    <row r="182" spans="1:8" ht="14.25" x14ac:dyDescent="0.3">
      <c r="A182" s="301"/>
      <c r="B182" s="309"/>
      <c r="C182" s="301"/>
      <c r="D182" s="302"/>
      <c r="E182" s="447"/>
      <c r="F182" s="447"/>
      <c r="G182" s="13"/>
      <c r="H182" s="13"/>
    </row>
    <row r="183" spans="1:8" ht="39" x14ac:dyDescent="0.25">
      <c r="A183" s="299" t="s">
        <v>1751</v>
      </c>
      <c r="B183" s="299" t="s">
        <v>1752</v>
      </c>
      <c r="C183" s="299" t="s">
        <v>1027</v>
      </c>
      <c r="D183" s="300">
        <v>36</v>
      </c>
      <c r="E183" s="448" t="s">
        <v>1028</v>
      </c>
      <c r="F183" s="448" t="s">
        <v>1927</v>
      </c>
      <c r="G183" s="13"/>
      <c r="H183" s="13"/>
    </row>
    <row r="184" spans="1:8" ht="14.25" x14ac:dyDescent="0.3">
      <c r="A184" s="301">
        <v>15043</v>
      </c>
      <c r="B184" s="309" t="s">
        <v>1928</v>
      </c>
      <c r="C184" s="301" t="s">
        <v>722</v>
      </c>
      <c r="D184" s="302"/>
      <c r="E184" s="447">
        <v>177</v>
      </c>
      <c r="F184" s="447" t="s">
        <v>1929</v>
      </c>
      <c r="G184" s="13"/>
      <c r="H184" s="13"/>
    </row>
    <row r="185" spans="1:8" ht="14.25" x14ac:dyDescent="0.3">
      <c r="A185" s="301">
        <v>13028</v>
      </c>
      <c r="B185" s="309" t="s">
        <v>1930</v>
      </c>
      <c r="C185" s="301" t="s">
        <v>1169</v>
      </c>
      <c r="D185" s="302"/>
      <c r="E185" s="447">
        <v>621</v>
      </c>
      <c r="F185" s="447" t="s">
        <v>1931</v>
      </c>
      <c r="G185" s="13"/>
      <c r="H185" s="13"/>
    </row>
    <row r="186" spans="1:8" ht="14.25" x14ac:dyDescent="0.3">
      <c r="A186" s="301"/>
      <c r="B186" s="309"/>
      <c r="C186" s="301"/>
      <c r="D186" s="302"/>
      <c r="E186" s="447"/>
      <c r="F186" s="447"/>
      <c r="G186" s="13"/>
      <c r="H186" s="13"/>
    </row>
    <row r="187" spans="1:8" ht="14.25" x14ac:dyDescent="0.3">
      <c r="A187" s="301"/>
      <c r="B187" s="309"/>
      <c r="C187" s="301"/>
      <c r="D187" s="302"/>
      <c r="E187" s="447"/>
      <c r="F187" s="447"/>
      <c r="G187" s="13"/>
      <c r="H187" s="13"/>
    </row>
    <row r="188" spans="1:8" ht="39" x14ac:dyDescent="0.25">
      <c r="A188" s="299" t="s">
        <v>1751</v>
      </c>
      <c r="B188" s="299" t="s">
        <v>1752</v>
      </c>
      <c r="C188" s="299" t="s">
        <v>1027</v>
      </c>
      <c r="D188" s="300">
        <v>37</v>
      </c>
      <c r="E188" s="448" t="s">
        <v>1028</v>
      </c>
      <c r="F188" s="448" t="s">
        <v>1932</v>
      </c>
      <c r="G188" s="13"/>
      <c r="H188" s="13"/>
    </row>
    <row r="189" spans="1:8" ht="14.25" x14ac:dyDescent="0.3">
      <c r="A189" s="301">
        <v>14049</v>
      </c>
      <c r="B189" s="309" t="s">
        <v>1933</v>
      </c>
      <c r="C189" s="301" t="s">
        <v>1169</v>
      </c>
      <c r="D189" s="302"/>
      <c r="E189" s="447">
        <v>263</v>
      </c>
      <c r="F189" s="447" t="s">
        <v>1934</v>
      </c>
      <c r="G189" s="13"/>
      <c r="H189" s="13"/>
    </row>
    <row r="190" spans="1:8" ht="14.25" x14ac:dyDescent="0.3">
      <c r="A190" s="301">
        <v>15069</v>
      </c>
      <c r="B190" s="309" t="s">
        <v>1935</v>
      </c>
      <c r="C190" s="301" t="s">
        <v>1169</v>
      </c>
      <c r="D190" s="302"/>
      <c r="E190" s="447">
        <v>304</v>
      </c>
      <c r="F190" s="447" t="s">
        <v>1936</v>
      </c>
      <c r="G190" s="13"/>
      <c r="H190" s="13"/>
    </row>
    <row r="191" spans="1:8" ht="14.25" x14ac:dyDescent="0.3">
      <c r="A191" s="301"/>
      <c r="B191" s="309"/>
      <c r="C191" s="301"/>
      <c r="D191" s="302"/>
      <c r="E191" s="447"/>
      <c r="F191" s="447"/>
      <c r="G191" s="13"/>
      <c r="H191" s="13"/>
    </row>
    <row r="192" spans="1:8" ht="14.25" x14ac:dyDescent="0.3">
      <c r="A192" s="301"/>
      <c r="B192" s="309"/>
      <c r="C192" s="301"/>
      <c r="D192" s="302"/>
      <c r="E192" s="447"/>
      <c r="F192" s="447"/>
      <c r="G192" s="13"/>
      <c r="H192" s="13"/>
    </row>
    <row r="193" spans="1:8" ht="39" x14ac:dyDescent="0.25">
      <c r="A193" s="299" t="s">
        <v>1751</v>
      </c>
      <c r="B193" s="299" t="s">
        <v>1752</v>
      </c>
      <c r="C193" s="299" t="s">
        <v>1027</v>
      </c>
      <c r="D193" s="300">
        <v>38</v>
      </c>
      <c r="E193" s="448" t="s">
        <v>1028</v>
      </c>
      <c r="F193" s="448" t="s">
        <v>1937</v>
      </c>
      <c r="G193" s="13"/>
      <c r="H193" s="13"/>
    </row>
    <row r="194" spans="1:8" ht="14.25" x14ac:dyDescent="0.3">
      <c r="A194" s="301">
        <v>14055</v>
      </c>
      <c r="B194" s="309" t="s">
        <v>1938</v>
      </c>
      <c r="C194" s="301" t="s">
        <v>168</v>
      </c>
      <c r="D194" s="302"/>
      <c r="E194" s="447">
        <v>204</v>
      </c>
      <c r="F194" s="447" t="s">
        <v>1939</v>
      </c>
      <c r="G194" s="13"/>
      <c r="H194" s="13"/>
    </row>
    <row r="195" spans="1:8" ht="14.25" x14ac:dyDescent="0.3">
      <c r="A195" s="301">
        <v>16117</v>
      </c>
      <c r="B195" s="309" t="s">
        <v>1940</v>
      </c>
      <c r="C195" s="301" t="s">
        <v>168</v>
      </c>
      <c r="D195" s="302"/>
      <c r="E195" s="447">
        <v>414</v>
      </c>
      <c r="F195" s="447" t="s">
        <v>1941</v>
      </c>
      <c r="G195" s="13"/>
      <c r="H195" s="13"/>
    </row>
    <row r="196" spans="1:8" ht="14.25" x14ac:dyDescent="0.3">
      <c r="A196" s="301"/>
      <c r="B196" s="309"/>
      <c r="C196" s="301"/>
      <c r="D196" s="302"/>
      <c r="E196" s="447"/>
      <c r="F196" s="447"/>
      <c r="G196" s="13"/>
      <c r="H196" s="13"/>
    </row>
    <row r="197" spans="1:8" ht="14.25" x14ac:dyDescent="0.3">
      <c r="A197" s="301"/>
      <c r="B197" s="309"/>
      <c r="C197" s="301"/>
      <c r="D197" s="302"/>
      <c r="E197" s="447"/>
      <c r="F197" s="447"/>
      <c r="G197" s="13"/>
      <c r="H197" s="13"/>
    </row>
    <row r="198" spans="1:8" ht="39" x14ac:dyDescent="0.25">
      <c r="A198" s="299" t="s">
        <v>1751</v>
      </c>
      <c r="B198" s="299" t="s">
        <v>1752</v>
      </c>
      <c r="C198" s="299" t="s">
        <v>1027</v>
      </c>
      <c r="D198" s="300">
        <v>39</v>
      </c>
      <c r="E198" s="448" t="s">
        <v>1028</v>
      </c>
      <c r="F198" s="448" t="s">
        <v>1942</v>
      </c>
      <c r="G198" s="13"/>
      <c r="H198" s="13"/>
    </row>
    <row r="199" spans="1:8" ht="14.25" x14ac:dyDescent="0.3">
      <c r="A199" s="301">
        <v>96162</v>
      </c>
      <c r="B199" s="309" t="s">
        <v>1943</v>
      </c>
      <c r="C199" s="301" t="s">
        <v>1104</v>
      </c>
      <c r="D199" s="302"/>
      <c r="E199" s="447">
        <v>416</v>
      </c>
      <c r="F199" s="447" t="s">
        <v>1944</v>
      </c>
      <c r="G199" s="13"/>
      <c r="H199" s="13"/>
    </row>
    <row r="200" spans="1:8" ht="14.25" x14ac:dyDescent="0.3">
      <c r="A200" s="301">
        <v>96163</v>
      </c>
      <c r="B200" s="309" t="s">
        <v>1945</v>
      </c>
      <c r="C200" s="301" t="s">
        <v>1104</v>
      </c>
      <c r="D200" s="302"/>
      <c r="E200" s="447">
        <v>451</v>
      </c>
      <c r="F200" s="447" t="s">
        <v>1946</v>
      </c>
      <c r="G200" s="13"/>
      <c r="H200" s="13"/>
    </row>
    <row r="201" spans="1:8" ht="14.25" x14ac:dyDescent="0.3">
      <c r="A201" s="301"/>
      <c r="B201" s="309"/>
      <c r="C201" s="301"/>
      <c r="D201" s="302"/>
      <c r="E201" s="447"/>
      <c r="F201" s="447"/>
      <c r="G201" s="13"/>
      <c r="H201" s="13"/>
    </row>
    <row r="202" spans="1:8" ht="14.25" x14ac:dyDescent="0.3">
      <c r="A202" s="301"/>
      <c r="B202" s="309"/>
      <c r="C202" s="301"/>
      <c r="D202" s="302"/>
      <c r="E202" s="447"/>
      <c r="F202" s="447"/>
      <c r="G202" s="13"/>
      <c r="H202" s="13"/>
    </row>
    <row r="203" spans="1:8" ht="39" x14ac:dyDescent="0.25">
      <c r="A203" s="299" t="s">
        <v>1751</v>
      </c>
      <c r="B203" s="299" t="s">
        <v>1752</v>
      </c>
      <c r="C203" s="299" t="s">
        <v>1027</v>
      </c>
      <c r="D203" s="300">
        <v>40</v>
      </c>
      <c r="E203" s="448" t="s">
        <v>1028</v>
      </c>
      <c r="F203" s="448" t="s">
        <v>1947</v>
      </c>
      <c r="G203" s="13"/>
      <c r="H203" s="13"/>
    </row>
    <row r="204" spans="1:8" ht="14.25" x14ac:dyDescent="0.3">
      <c r="A204" s="301">
        <v>15031</v>
      </c>
      <c r="B204" s="309" t="s">
        <v>1948</v>
      </c>
      <c r="C204" s="301" t="s">
        <v>58</v>
      </c>
      <c r="D204" s="302"/>
      <c r="E204" s="447">
        <v>334</v>
      </c>
      <c r="F204" s="447" t="s">
        <v>1949</v>
      </c>
      <c r="G204" s="13"/>
      <c r="H204" s="13"/>
    </row>
    <row r="205" spans="1:8" ht="14.25" x14ac:dyDescent="0.3">
      <c r="A205" s="301">
        <v>15032</v>
      </c>
      <c r="B205" s="309" t="s">
        <v>1950</v>
      </c>
      <c r="C205" s="301" t="s">
        <v>58</v>
      </c>
      <c r="D205" s="302"/>
      <c r="E205" s="447">
        <v>378</v>
      </c>
      <c r="F205" s="447" t="s">
        <v>1951</v>
      </c>
      <c r="G205" s="13"/>
      <c r="H205" s="13"/>
    </row>
    <row r="206" spans="1:8" ht="14.25" x14ac:dyDescent="0.3">
      <c r="A206" s="301"/>
      <c r="B206" s="309"/>
      <c r="C206" s="301"/>
      <c r="D206" s="302"/>
      <c r="E206" s="447"/>
      <c r="F206" s="447"/>
      <c r="G206" s="13"/>
      <c r="H206" s="13"/>
    </row>
    <row r="207" spans="1:8" ht="14.25" x14ac:dyDescent="0.3">
      <c r="A207" s="301"/>
      <c r="B207" s="309"/>
      <c r="C207" s="301"/>
      <c r="D207" s="302"/>
      <c r="E207" s="447"/>
      <c r="F207" s="447"/>
      <c r="G207" s="13"/>
      <c r="H207" s="13"/>
    </row>
    <row r="208" spans="1:8" ht="39" x14ac:dyDescent="0.25">
      <c r="A208" s="299" t="s">
        <v>1751</v>
      </c>
      <c r="B208" s="299" t="s">
        <v>1752</v>
      </c>
      <c r="C208" s="299" t="s">
        <v>1027</v>
      </c>
      <c r="D208" s="300">
        <v>41</v>
      </c>
      <c r="E208" s="448" t="s">
        <v>1028</v>
      </c>
      <c r="F208" s="448" t="s">
        <v>1952</v>
      </c>
      <c r="G208" s="13"/>
      <c r="H208" s="13"/>
    </row>
    <row r="209" spans="1:8" ht="14.25" x14ac:dyDescent="0.3">
      <c r="A209" s="301">
        <v>13083</v>
      </c>
      <c r="B209" s="309" t="s">
        <v>1953</v>
      </c>
      <c r="C209" s="301" t="s">
        <v>1142</v>
      </c>
      <c r="D209" s="302"/>
      <c r="E209" s="447">
        <v>268</v>
      </c>
      <c r="F209" s="447" t="s">
        <v>1954</v>
      </c>
      <c r="G209" s="13"/>
      <c r="H209" s="13"/>
    </row>
    <row r="210" spans="1:8" ht="14.25" x14ac:dyDescent="0.3">
      <c r="A210" s="301"/>
      <c r="B210" s="309" t="s">
        <v>1955</v>
      </c>
      <c r="C210" s="301"/>
      <c r="D210" s="302" t="s">
        <v>1911</v>
      </c>
      <c r="E210" s="447"/>
      <c r="F210" s="447">
        <v>0</v>
      </c>
      <c r="G210" s="13"/>
      <c r="H210" s="13"/>
    </row>
    <row r="211" spans="1:8" ht="14.25" x14ac:dyDescent="0.3">
      <c r="A211" s="301"/>
      <c r="B211" s="309"/>
      <c r="C211" s="301"/>
      <c r="D211" s="302"/>
      <c r="E211" s="447"/>
      <c r="F211" s="447"/>
      <c r="G211" s="13"/>
      <c r="H211" s="13"/>
    </row>
    <row r="212" spans="1:8" ht="14.25" x14ac:dyDescent="0.3">
      <c r="A212" s="301"/>
      <c r="B212" s="309"/>
      <c r="C212" s="301"/>
      <c r="D212" s="302"/>
      <c r="E212" s="447"/>
      <c r="F212" s="447"/>
      <c r="G212" s="13"/>
      <c r="H212" s="13"/>
    </row>
    <row r="213" spans="1:8" ht="39" x14ac:dyDescent="0.25">
      <c r="A213" s="299" t="s">
        <v>1751</v>
      </c>
      <c r="B213" s="299" t="s">
        <v>1752</v>
      </c>
      <c r="C213" s="299" t="s">
        <v>1027</v>
      </c>
      <c r="D213" s="300">
        <v>42</v>
      </c>
      <c r="E213" s="448" t="s">
        <v>1028</v>
      </c>
      <c r="F213" s="448" t="s">
        <v>1956</v>
      </c>
      <c r="G213" s="13"/>
      <c r="H213" s="13"/>
    </row>
    <row r="214" spans="1:8" ht="14.25" x14ac:dyDescent="0.3">
      <c r="A214" s="301">
        <v>16085</v>
      </c>
      <c r="B214" s="309" t="s">
        <v>1957</v>
      </c>
      <c r="C214" s="301" t="s">
        <v>1958</v>
      </c>
      <c r="D214" s="302"/>
      <c r="E214" s="447">
        <v>456</v>
      </c>
      <c r="F214" s="447" t="s">
        <v>1959</v>
      </c>
      <c r="G214" s="13"/>
      <c r="H214" s="13"/>
    </row>
    <row r="215" spans="1:8" ht="14.25" x14ac:dyDescent="0.3">
      <c r="A215" s="301">
        <v>16086</v>
      </c>
      <c r="B215" s="309" t="s">
        <v>1960</v>
      </c>
      <c r="C215" s="301" t="s">
        <v>1958</v>
      </c>
      <c r="D215" s="302"/>
      <c r="E215" s="447">
        <v>397</v>
      </c>
      <c r="F215" s="447" t="s">
        <v>1961</v>
      </c>
      <c r="G215" s="13"/>
      <c r="H215" s="13"/>
    </row>
    <row r="216" spans="1:8" ht="14.25" x14ac:dyDescent="0.3">
      <c r="A216" s="301"/>
      <c r="B216" s="309"/>
      <c r="C216" s="301"/>
      <c r="D216" s="302"/>
      <c r="E216" s="447"/>
      <c r="F216" s="447"/>
      <c r="G216" s="13"/>
      <c r="H216" s="13"/>
    </row>
    <row r="217" spans="1:8" ht="14.25" x14ac:dyDescent="0.3">
      <c r="A217" s="301"/>
      <c r="B217" s="309"/>
      <c r="C217" s="301"/>
      <c r="D217" s="302"/>
      <c r="E217" s="447"/>
      <c r="F217" s="447"/>
      <c r="G217" s="13"/>
      <c r="H217" s="13"/>
    </row>
    <row r="218" spans="1:8" ht="39" x14ac:dyDescent="0.25">
      <c r="A218" s="299" t="s">
        <v>1751</v>
      </c>
      <c r="B218" s="299" t="s">
        <v>1752</v>
      </c>
      <c r="C218" s="299" t="s">
        <v>1027</v>
      </c>
      <c r="D218" s="300">
        <v>43</v>
      </c>
      <c r="E218" s="448" t="s">
        <v>1028</v>
      </c>
      <c r="F218" s="448" t="s">
        <v>1962</v>
      </c>
      <c r="G218" s="13"/>
      <c r="H218" s="13"/>
    </row>
    <row r="219" spans="1:8" ht="14.25" x14ac:dyDescent="0.3">
      <c r="A219" s="301">
        <v>16077</v>
      </c>
      <c r="B219" s="309" t="s">
        <v>1963</v>
      </c>
      <c r="C219" s="301" t="s">
        <v>1958</v>
      </c>
      <c r="D219" s="302"/>
      <c r="E219" s="447">
        <v>390</v>
      </c>
      <c r="F219" s="447" t="s">
        <v>1964</v>
      </c>
      <c r="G219" s="13"/>
      <c r="H219" s="13"/>
    </row>
    <row r="220" spans="1:8" ht="14.25" x14ac:dyDescent="0.3">
      <c r="A220" s="301">
        <v>16075</v>
      </c>
      <c r="B220" s="309" t="s">
        <v>1965</v>
      </c>
      <c r="C220" s="301" t="s">
        <v>1958</v>
      </c>
      <c r="D220" s="302"/>
      <c r="E220" s="447">
        <v>491</v>
      </c>
      <c r="F220" s="447" t="s">
        <v>1966</v>
      </c>
      <c r="G220" s="13"/>
      <c r="H220" s="13"/>
    </row>
    <row r="221" spans="1:8" ht="14.25" x14ac:dyDescent="0.3">
      <c r="A221" s="301"/>
      <c r="B221" s="309"/>
      <c r="C221" s="301"/>
      <c r="D221" s="302"/>
      <c r="E221" s="447"/>
      <c r="F221" s="447"/>
      <c r="G221" s="13"/>
      <c r="H221" s="13"/>
    </row>
    <row r="222" spans="1:8" ht="14.25" x14ac:dyDescent="0.3">
      <c r="A222" s="301"/>
      <c r="B222" s="309"/>
      <c r="C222" s="301"/>
      <c r="D222" s="302"/>
      <c r="E222" s="447"/>
      <c r="F222" s="447"/>
      <c r="G222" s="13"/>
      <c r="H222" s="13"/>
    </row>
    <row r="223" spans="1:8" ht="39" x14ac:dyDescent="0.25">
      <c r="A223" s="299" t="s">
        <v>1751</v>
      </c>
      <c r="B223" s="299" t="s">
        <v>1752</v>
      </c>
      <c r="C223" s="299" t="s">
        <v>1027</v>
      </c>
      <c r="D223" s="300">
        <v>44</v>
      </c>
      <c r="E223" s="448" t="s">
        <v>1028</v>
      </c>
      <c r="F223" s="448" t="s">
        <v>1967</v>
      </c>
      <c r="G223" s="13"/>
      <c r="H223" s="13"/>
    </row>
    <row r="224" spans="1:8" ht="14.25" x14ac:dyDescent="0.3">
      <c r="A224" s="301">
        <v>14005</v>
      </c>
      <c r="B224" s="309" t="s">
        <v>1968</v>
      </c>
      <c r="C224" s="301" t="s">
        <v>168</v>
      </c>
      <c r="D224" s="302"/>
      <c r="E224" s="447">
        <v>503</v>
      </c>
      <c r="F224" s="447" t="s">
        <v>1966</v>
      </c>
      <c r="G224" s="13"/>
      <c r="H224" s="13"/>
    </row>
    <row r="225" spans="1:8" ht="14.25" x14ac:dyDescent="0.3">
      <c r="A225" s="301">
        <v>11047</v>
      </c>
      <c r="B225" s="309" t="s">
        <v>1969</v>
      </c>
      <c r="C225" s="301" t="s">
        <v>168</v>
      </c>
      <c r="D225" s="302"/>
      <c r="E225" s="447">
        <v>443</v>
      </c>
      <c r="F225" s="447" t="s">
        <v>1970</v>
      </c>
      <c r="G225" s="13"/>
      <c r="H225" s="13"/>
    </row>
    <row r="226" spans="1:8" ht="14.25" x14ac:dyDescent="0.3">
      <c r="A226" s="301"/>
      <c r="B226" s="309"/>
      <c r="C226" s="301"/>
      <c r="D226" s="302"/>
      <c r="E226" s="447"/>
      <c r="F226" s="447"/>
      <c r="G226" s="13"/>
      <c r="H226" s="13"/>
    </row>
    <row r="227" spans="1:8" ht="14.25" x14ac:dyDescent="0.3">
      <c r="A227" s="301"/>
      <c r="B227" s="309"/>
      <c r="C227" s="301"/>
      <c r="D227" s="302"/>
      <c r="E227" s="447"/>
      <c r="F227" s="447"/>
      <c r="G227" s="13"/>
      <c r="H227" s="13"/>
    </row>
    <row r="228" spans="1:8" ht="39" x14ac:dyDescent="0.25">
      <c r="A228" s="299" t="s">
        <v>1751</v>
      </c>
      <c r="B228" s="299" t="s">
        <v>1752</v>
      </c>
      <c r="C228" s="299" t="s">
        <v>1027</v>
      </c>
      <c r="D228" s="300">
        <v>45</v>
      </c>
      <c r="E228" s="448" t="s">
        <v>1028</v>
      </c>
      <c r="F228" s="448" t="s">
        <v>1971</v>
      </c>
      <c r="G228" s="13"/>
      <c r="H228" s="13"/>
    </row>
    <row r="229" spans="1:8" ht="14.25" x14ac:dyDescent="0.3">
      <c r="A229" s="301">
        <v>16060</v>
      </c>
      <c r="B229" s="309" t="s">
        <v>1972</v>
      </c>
      <c r="C229" s="301" t="s">
        <v>1524</v>
      </c>
      <c r="D229" s="302"/>
      <c r="E229" s="447">
        <v>280</v>
      </c>
      <c r="F229" s="447" t="s">
        <v>1973</v>
      </c>
      <c r="G229" s="13"/>
      <c r="H229" s="13"/>
    </row>
    <row r="230" spans="1:8" ht="14.25" x14ac:dyDescent="0.3">
      <c r="A230" s="301">
        <v>16064</v>
      </c>
      <c r="B230" s="309" t="s">
        <v>1974</v>
      </c>
      <c r="C230" s="301" t="s">
        <v>1524</v>
      </c>
      <c r="D230" s="302"/>
      <c r="E230" s="447">
        <v>602</v>
      </c>
      <c r="F230" s="447" t="s">
        <v>1975</v>
      </c>
      <c r="G230" s="13"/>
      <c r="H230" s="13"/>
    </row>
    <row r="231" spans="1:8" ht="14.25" x14ac:dyDescent="0.3">
      <c r="A231" s="301"/>
      <c r="B231" s="309"/>
      <c r="C231" s="301"/>
      <c r="D231" s="302"/>
      <c r="E231" s="447"/>
      <c r="F231" s="447"/>
      <c r="G231" s="13"/>
      <c r="H231" s="13"/>
    </row>
    <row r="232" spans="1:8" ht="14.25" x14ac:dyDescent="0.3">
      <c r="A232" s="301"/>
      <c r="B232" s="309"/>
      <c r="C232" s="301"/>
      <c r="D232" s="302"/>
      <c r="E232" s="447"/>
      <c r="F232" s="447"/>
      <c r="G232" s="13"/>
      <c r="H232" s="13"/>
    </row>
    <row r="233" spans="1:8" ht="39" x14ac:dyDescent="0.25">
      <c r="A233" s="299" t="s">
        <v>1751</v>
      </c>
      <c r="B233" s="299" t="s">
        <v>1752</v>
      </c>
      <c r="C233" s="299" t="s">
        <v>1027</v>
      </c>
      <c r="D233" s="300">
        <v>46</v>
      </c>
      <c r="E233" s="448" t="s">
        <v>1028</v>
      </c>
      <c r="F233" s="448" t="s">
        <v>1976</v>
      </c>
      <c r="G233" s="13"/>
      <c r="H233" s="13"/>
    </row>
    <row r="234" spans="1:8" ht="14.25" x14ac:dyDescent="0.3">
      <c r="A234" s="301">
        <v>29053</v>
      </c>
      <c r="B234" s="309" t="s">
        <v>1977</v>
      </c>
      <c r="C234" s="301" t="s">
        <v>1142</v>
      </c>
      <c r="D234" s="302"/>
      <c r="E234" s="447">
        <v>413</v>
      </c>
      <c r="F234" s="447" t="s">
        <v>1978</v>
      </c>
      <c r="G234" s="13"/>
      <c r="H234" s="13"/>
    </row>
    <row r="235" spans="1:8" ht="14.25" x14ac:dyDescent="0.3">
      <c r="A235" s="301">
        <v>29051</v>
      </c>
      <c r="B235" s="309" t="s">
        <v>1979</v>
      </c>
      <c r="C235" s="301" t="s">
        <v>1142</v>
      </c>
      <c r="D235" s="302"/>
      <c r="E235" s="447">
        <v>480</v>
      </c>
      <c r="F235" s="447" t="s">
        <v>1980</v>
      </c>
      <c r="G235" s="13"/>
      <c r="H235" s="13"/>
    </row>
    <row r="236" spans="1:8" ht="14.25" x14ac:dyDescent="0.3">
      <c r="A236" s="301"/>
      <c r="B236" s="309"/>
      <c r="C236" s="301"/>
      <c r="D236" s="302"/>
      <c r="E236" s="447"/>
      <c r="F236" s="447"/>
      <c r="G236" s="13"/>
      <c r="H236" s="13"/>
    </row>
    <row r="237" spans="1:8" ht="14.25" x14ac:dyDescent="0.3">
      <c r="A237" s="301"/>
      <c r="B237" s="309"/>
      <c r="C237" s="301"/>
      <c r="D237" s="302"/>
      <c r="E237" s="447"/>
      <c r="F237" s="447"/>
      <c r="G237" s="13"/>
      <c r="H237" s="13"/>
    </row>
    <row r="238" spans="1:8" ht="39" x14ac:dyDescent="0.25">
      <c r="A238" s="299" t="s">
        <v>1751</v>
      </c>
      <c r="B238" s="299" t="s">
        <v>1752</v>
      </c>
      <c r="C238" s="299" t="s">
        <v>1027</v>
      </c>
      <c r="D238" s="300">
        <v>47</v>
      </c>
      <c r="E238" s="448" t="s">
        <v>1028</v>
      </c>
      <c r="F238" s="448" t="s">
        <v>1981</v>
      </c>
      <c r="G238" s="13"/>
      <c r="H238" s="13"/>
    </row>
    <row r="239" spans="1:8" ht="14.25" x14ac:dyDescent="0.3">
      <c r="A239" s="301">
        <v>16006</v>
      </c>
      <c r="B239" s="309" t="s">
        <v>1982</v>
      </c>
      <c r="C239" s="301" t="s">
        <v>1169</v>
      </c>
      <c r="D239" s="302"/>
      <c r="E239" s="447">
        <v>352</v>
      </c>
      <c r="F239" s="447" t="s">
        <v>1983</v>
      </c>
      <c r="G239" s="13"/>
      <c r="H239" s="13"/>
    </row>
    <row r="240" spans="1:8" ht="14.25" x14ac:dyDescent="0.3">
      <c r="A240" s="301">
        <v>16137</v>
      </c>
      <c r="B240" s="309" t="s">
        <v>1984</v>
      </c>
      <c r="C240" s="301" t="s">
        <v>1169</v>
      </c>
      <c r="D240" s="302"/>
      <c r="E240" s="447">
        <v>855</v>
      </c>
      <c r="F240" s="447" t="s">
        <v>1985</v>
      </c>
      <c r="G240" s="13"/>
      <c r="H240" s="13"/>
    </row>
    <row r="241" spans="1:8" ht="14.25" x14ac:dyDescent="0.3">
      <c r="A241" s="301"/>
      <c r="B241" s="309"/>
      <c r="C241" s="301"/>
      <c r="D241" s="302"/>
      <c r="E241" s="447"/>
      <c r="F241" s="447"/>
      <c r="G241" s="13"/>
      <c r="H241" s="13"/>
    </row>
    <row r="242" spans="1:8" ht="14.25" x14ac:dyDescent="0.3">
      <c r="A242" s="301"/>
      <c r="B242" s="309"/>
      <c r="C242" s="301"/>
      <c r="D242" s="302"/>
      <c r="E242" s="447"/>
      <c r="F242" s="447"/>
      <c r="G242" s="13"/>
      <c r="H242" s="13"/>
    </row>
    <row r="243" spans="1:8" ht="39" x14ac:dyDescent="0.25">
      <c r="A243" s="299" t="s">
        <v>1751</v>
      </c>
      <c r="B243" s="299" t="s">
        <v>1752</v>
      </c>
      <c r="C243" s="299" t="s">
        <v>1027</v>
      </c>
      <c r="D243" s="300">
        <v>48</v>
      </c>
      <c r="E243" s="448" t="s">
        <v>1028</v>
      </c>
      <c r="F243" s="448" t="s">
        <v>1986</v>
      </c>
      <c r="G243" s="13"/>
      <c r="H243" s="13"/>
    </row>
    <row r="244" spans="1:8" ht="14.25" x14ac:dyDescent="0.3">
      <c r="A244" s="301">
        <v>16082</v>
      </c>
      <c r="B244" s="309" t="s">
        <v>1987</v>
      </c>
      <c r="C244" s="301" t="s">
        <v>1958</v>
      </c>
      <c r="D244" s="302"/>
      <c r="E244" s="447">
        <v>455</v>
      </c>
      <c r="F244" s="447" t="s">
        <v>1988</v>
      </c>
      <c r="G244" s="13"/>
      <c r="H244" s="13"/>
    </row>
    <row r="245" spans="1:8" ht="14.25" x14ac:dyDescent="0.3">
      <c r="A245" s="301">
        <v>16072</v>
      </c>
      <c r="B245" s="309" t="s">
        <v>1989</v>
      </c>
      <c r="C245" s="301" t="s">
        <v>1958</v>
      </c>
      <c r="D245" s="302"/>
      <c r="E245" s="447">
        <v>586</v>
      </c>
      <c r="F245" s="447" t="s">
        <v>1990</v>
      </c>
      <c r="G245" s="13"/>
      <c r="H245" s="13"/>
    </row>
    <row r="246" spans="1:8" ht="14.25" x14ac:dyDescent="0.3">
      <c r="A246" s="301"/>
      <c r="B246" s="309"/>
      <c r="C246" s="301"/>
      <c r="D246" s="302"/>
      <c r="E246" s="447"/>
      <c r="F246" s="447"/>
      <c r="G246" s="13"/>
      <c r="H246" s="13"/>
    </row>
    <row r="247" spans="1:8" ht="14.25" x14ac:dyDescent="0.3">
      <c r="A247" s="301"/>
      <c r="B247" s="309"/>
      <c r="C247" s="301"/>
      <c r="D247" s="302"/>
      <c r="E247" s="447"/>
      <c r="F247" s="447"/>
      <c r="G247" s="13"/>
      <c r="H247" s="13"/>
    </row>
    <row r="248" spans="1:8" ht="39" x14ac:dyDescent="0.25">
      <c r="A248" s="299" t="s">
        <v>1751</v>
      </c>
      <c r="B248" s="299" t="s">
        <v>1752</v>
      </c>
      <c r="C248" s="299" t="s">
        <v>1027</v>
      </c>
      <c r="D248" s="300">
        <v>49</v>
      </c>
      <c r="E248" s="448" t="s">
        <v>1028</v>
      </c>
      <c r="F248" s="448" t="s">
        <v>1991</v>
      </c>
      <c r="G248" s="13"/>
      <c r="H248" s="13"/>
    </row>
    <row r="249" spans="1:8" ht="14.25" x14ac:dyDescent="0.3">
      <c r="A249" s="301">
        <v>16089</v>
      </c>
      <c r="B249" s="309" t="s">
        <v>1992</v>
      </c>
      <c r="C249" s="301" t="s">
        <v>1958</v>
      </c>
      <c r="D249" s="302"/>
      <c r="E249" s="447">
        <v>527</v>
      </c>
      <c r="F249" s="447" t="s">
        <v>1993</v>
      </c>
      <c r="G249" s="13"/>
      <c r="H249" s="13"/>
    </row>
    <row r="250" spans="1:8" ht="14.25" x14ac:dyDescent="0.3">
      <c r="A250" s="301">
        <v>16090</v>
      </c>
      <c r="B250" s="309" t="s">
        <v>1994</v>
      </c>
      <c r="C250" s="301" t="s">
        <v>1958</v>
      </c>
      <c r="D250" s="302"/>
      <c r="E250" s="447">
        <v>639</v>
      </c>
      <c r="F250" s="447" t="s">
        <v>1995</v>
      </c>
      <c r="G250" s="13"/>
      <c r="H250" s="13"/>
    </row>
    <row r="251" spans="1:8" ht="14.25" x14ac:dyDescent="0.3">
      <c r="A251" s="301"/>
      <c r="B251" s="309"/>
      <c r="C251" s="301"/>
      <c r="D251" s="302"/>
      <c r="E251" s="447"/>
      <c r="F251" s="447"/>
      <c r="G251" s="13"/>
      <c r="H251" s="13"/>
    </row>
    <row r="252" spans="1:8" ht="14.25" x14ac:dyDescent="0.3">
      <c r="A252" s="301"/>
      <c r="B252" s="309"/>
      <c r="C252" s="301"/>
      <c r="D252" s="302"/>
      <c r="E252" s="447"/>
      <c r="F252" s="447"/>
      <c r="G252" s="13"/>
      <c r="H252" s="13"/>
    </row>
    <row r="253" spans="1:8" ht="39" x14ac:dyDescent="0.25">
      <c r="A253" s="299" t="s">
        <v>1751</v>
      </c>
      <c r="B253" s="299" t="s">
        <v>1752</v>
      </c>
      <c r="C253" s="299" t="s">
        <v>1027</v>
      </c>
      <c r="D253" s="300">
        <v>50</v>
      </c>
      <c r="E253" s="448" t="s">
        <v>1028</v>
      </c>
      <c r="F253" s="448" t="s">
        <v>1996</v>
      </c>
      <c r="G253" s="13"/>
      <c r="H253" s="13"/>
    </row>
    <row r="254" spans="1:8" ht="14.25" x14ac:dyDescent="0.3">
      <c r="A254" s="301">
        <v>16068</v>
      </c>
      <c r="B254" s="309" t="s">
        <v>1997</v>
      </c>
      <c r="C254" s="301" t="s">
        <v>1958</v>
      </c>
      <c r="D254" s="302"/>
      <c r="E254" s="447">
        <v>690</v>
      </c>
      <c r="F254" s="447" t="s">
        <v>1985</v>
      </c>
      <c r="G254" s="13"/>
      <c r="H254" s="13"/>
    </row>
    <row r="255" spans="1:8" ht="14.25" x14ac:dyDescent="0.3">
      <c r="A255" s="301">
        <v>16076</v>
      </c>
      <c r="B255" s="309" t="s">
        <v>1998</v>
      </c>
      <c r="C255" s="301" t="s">
        <v>1958</v>
      </c>
      <c r="D255" s="302"/>
      <c r="E255" s="447">
        <v>526</v>
      </c>
      <c r="F255" s="447" t="s">
        <v>1999</v>
      </c>
      <c r="G255" s="13"/>
      <c r="H255" s="13"/>
    </row>
    <row r="256" spans="1:8" ht="14.25" x14ac:dyDescent="0.3">
      <c r="A256" s="301"/>
      <c r="B256" s="309"/>
      <c r="C256" s="301"/>
      <c r="D256" s="302"/>
      <c r="E256" s="447"/>
      <c r="F256" s="447"/>
      <c r="G256" s="13"/>
      <c r="H256" s="13"/>
    </row>
    <row r="257" spans="1:8" ht="14.25" x14ac:dyDescent="0.3">
      <c r="A257" s="301"/>
      <c r="B257" s="309"/>
      <c r="C257" s="301"/>
      <c r="D257" s="302"/>
      <c r="E257" s="447"/>
      <c r="F257" s="447"/>
      <c r="G257" s="13"/>
      <c r="H257" s="13"/>
    </row>
    <row r="258" spans="1:8" ht="39" x14ac:dyDescent="0.25">
      <c r="A258" s="299" t="s">
        <v>1751</v>
      </c>
      <c r="B258" s="299" t="s">
        <v>1752</v>
      </c>
      <c r="C258" s="299" t="s">
        <v>1027</v>
      </c>
      <c r="D258" s="300">
        <v>51</v>
      </c>
      <c r="E258" s="448" t="s">
        <v>1028</v>
      </c>
      <c r="F258" s="448" t="s">
        <v>2000</v>
      </c>
      <c r="G258" s="13"/>
      <c r="H258" s="13"/>
    </row>
    <row r="259" spans="1:8" ht="14.25" x14ac:dyDescent="0.3">
      <c r="A259" s="301">
        <v>29054</v>
      </c>
      <c r="B259" s="309" t="s">
        <v>2001</v>
      </c>
      <c r="C259" s="301" t="s">
        <v>1142</v>
      </c>
      <c r="D259" s="302"/>
      <c r="E259" s="447">
        <v>645</v>
      </c>
      <c r="F259" s="447" t="s">
        <v>2002</v>
      </c>
      <c r="G259" s="13"/>
      <c r="H259" s="13"/>
    </row>
    <row r="260" spans="1:8" ht="14.25" x14ac:dyDescent="0.3">
      <c r="A260" s="301"/>
      <c r="B260" s="309" t="s">
        <v>2003</v>
      </c>
      <c r="C260" s="301"/>
      <c r="D260" s="302" t="s">
        <v>1911</v>
      </c>
      <c r="E260" s="447"/>
      <c r="F260" s="447">
        <v>0</v>
      </c>
      <c r="G260" s="13"/>
      <c r="H260" s="13"/>
    </row>
    <row r="261" spans="1:8" ht="14.25" x14ac:dyDescent="0.3">
      <c r="A261" s="301"/>
      <c r="B261" s="309"/>
      <c r="C261" s="301"/>
      <c r="D261" s="302"/>
      <c r="E261" s="447"/>
      <c r="F261" s="447"/>
      <c r="G261" s="13"/>
      <c r="H261" s="13"/>
    </row>
    <row r="262" spans="1:8" ht="14.25" x14ac:dyDescent="0.3">
      <c r="A262" s="301"/>
      <c r="B262" s="309"/>
      <c r="C262" s="301"/>
      <c r="D262" s="302"/>
      <c r="E262" s="447"/>
      <c r="F262" s="447"/>
      <c r="G262" s="13"/>
      <c r="H262" s="13"/>
    </row>
    <row r="263" spans="1:8" ht="39" x14ac:dyDescent="0.25">
      <c r="A263" s="299" t="s">
        <v>1751</v>
      </c>
      <c r="B263" s="299" t="s">
        <v>1752</v>
      </c>
      <c r="C263" s="299" t="s">
        <v>1027</v>
      </c>
      <c r="D263" s="300">
        <v>52</v>
      </c>
      <c r="E263" s="448" t="s">
        <v>1028</v>
      </c>
      <c r="F263" s="448" t="s">
        <v>2004</v>
      </c>
      <c r="G263" s="13"/>
      <c r="H263" s="13"/>
    </row>
    <row r="264" spans="1:8" ht="14.25" x14ac:dyDescent="0.3">
      <c r="A264" s="301"/>
      <c r="B264" s="309"/>
      <c r="C264" s="301"/>
      <c r="D264" s="302" t="s">
        <v>1911</v>
      </c>
      <c r="E264" s="447"/>
      <c r="F264" s="447">
        <v>0</v>
      </c>
      <c r="G264" s="13"/>
      <c r="H264" s="13"/>
    </row>
    <row r="265" spans="1:8" ht="14.25" x14ac:dyDescent="0.3">
      <c r="A265" s="301"/>
      <c r="B265" s="309"/>
      <c r="C265" s="301"/>
      <c r="D265" s="302" t="s">
        <v>1911</v>
      </c>
      <c r="E265" s="447"/>
      <c r="F265" s="447">
        <v>0</v>
      </c>
      <c r="G265" s="13"/>
      <c r="H265" s="13"/>
    </row>
    <row r="266" spans="1:8" ht="14.25" x14ac:dyDescent="0.3">
      <c r="A266" s="301"/>
      <c r="B266" s="309"/>
      <c r="C266" s="301"/>
      <c r="D266" s="302"/>
      <c r="E266" s="447"/>
      <c r="F266" s="447"/>
      <c r="G266" s="13"/>
      <c r="H266" s="13"/>
    </row>
    <row r="267" spans="1:8" ht="14.25" x14ac:dyDescent="0.3">
      <c r="A267" s="301"/>
      <c r="B267" s="309"/>
      <c r="C267" s="301"/>
      <c r="D267" s="302"/>
      <c r="E267" s="447"/>
      <c r="F267" s="447"/>
      <c r="G267" s="13"/>
      <c r="H267" s="13"/>
    </row>
    <row r="268" spans="1:8" ht="13.5" x14ac:dyDescent="0.25">
      <c r="A268" s="299"/>
      <c r="B268" s="299"/>
      <c r="C268" s="299"/>
      <c r="D268" s="300"/>
      <c r="E268" s="448"/>
      <c r="F268" s="448"/>
      <c r="G268" s="13"/>
      <c r="H268" s="13"/>
    </row>
    <row r="269" spans="1:8" ht="14.25" x14ac:dyDescent="0.3">
      <c r="A269" s="301"/>
      <c r="B269" s="309"/>
      <c r="C269" s="301"/>
      <c r="D269" s="302"/>
      <c r="E269" s="447"/>
      <c r="F269" s="447"/>
      <c r="G269" s="13"/>
      <c r="H269" s="13"/>
    </row>
    <row r="270" spans="1:8" ht="14.25" x14ac:dyDescent="0.3">
      <c r="A270" s="301"/>
      <c r="B270" s="309"/>
      <c r="C270" s="301"/>
      <c r="D270" s="302"/>
      <c r="E270" s="447"/>
      <c r="F270" s="447"/>
      <c r="G270" s="13"/>
      <c r="H270" s="13"/>
    </row>
    <row r="271" spans="1:8" ht="14.25" x14ac:dyDescent="0.3">
      <c r="A271" s="301"/>
      <c r="B271" s="309"/>
      <c r="C271" s="301"/>
      <c r="D271" s="302"/>
      <c r="E271" s="447"/>
      <c r="F271" s="447"/>
      <c r="G271" s="13"/>
      <c r="H271" s="13"/>
    </row>
    <row r="272" spans="1:8" ht="14.25" x14ac:dyDescent="0.3">
      <c r="A272" s="301"/>
      <c r="B272" s="309"/>
      <c r="C272" s="301"/>
      <c r="D272" s="302"/>
      <c r="E272" s="447"/>
      <c r="F272" s="447"/>
      <c r="G272" s="13"/>
      <c r="H272" s="13"/>
    </row>
    <row r="273" spans="1:8" ht="13.5" x14ac:dyDescent="0.25">
      <c r="A273" s="299"/>
      <c r="B273" s="299"/>
      <c r="C273" s="299"/>
      <c r="D273" s="300"/>
      <c r="E273" s="448"/>
      <c r="F273" s="448"/>
      <c r="G273" s="13"/>
      <c r="H273" s="13"/>
    </row>
    <row r="274" spans="1:8" ht="14.25" x14ac:dyDescent="0.3">
      <c r="A274" s="301"/>
      <c r="B274" s="309"/>
      <c r="C274" s="301"/>
      <c r="D274" s="302"/>
      <c r="E274" s="447"/>
      <c r="F274" s="447"/>
      <c r="G274" s="13"/>
      <c r="H274" s="13"/>
    </row>
    <row r="275" spans="1:8" ht="14.25" x14ac:dyDescent="0.3">
      <c r="A275" s="301"/>
      <c r="B275" s="309"/>
      <c r="C275" s="301"/>
      <c r="D275" s="302"/>
      <c r="E275" s="447"/>
      <c r="F275" s="447"/>
      <c r="G275" s="13"/>
      <c r="H275" s="13"/>
    </row>
    <row r="276" spans="1:8" ht="14.25" x14ac:dyDescent="0.3">
      <c r="A276" s="301"/>
      <c r="B276" s="309"/>
      <c r="C276" s="301"/>
      <c r="D276" s="302"/>
      <c r="E276" s="447"/>
      <c r="F276" s="447"/>
      <c r="G276" s="13"/>
      <c r="H276" s="13"/>
    </row>
    <row r="277" spans="1:8" ht="14.25" x14ac:dyDescent="0.3">
      <c r="A277" s="301"/>
      <c r="B277" s="309"/>
      <c r="C277" s="301"/>
      <c r="D277" s="302"/>
      <c r="E277" s="447"/>
      <c r="F277" s="447"/>
      <c r="G277" s="13"/>
      <c r="H277" s="13"/>
    </row>
    <row r="278" spans="1:8" ht="13.5" x14ac:dyDescent="0.25">
      <c r="A278" s="299"/>
      <c r="B278" s="299"/>
      <c r="C278" s="299"/>
      <c r="D278" s="300"/>
      <c r="E278" s="448"/>
      <c r="F278" s="448"/>
      <c r="G278" s="13"/>
      <c r="H278" s="13"/>
    </row>
    <row r="279" spans="1:8" ht="14.25" x14ac:dyDescent="0.3">
      <c r="A279" s="301"/>
      <c r="B279" s="309"/>
      <c r="C279" s="301"/>
      <c r="D279" s="302"/>
      <c r="E279" s="447"/>
      <c r="F279" s="447"/>
      <c r="G279" s="13"/>
      <c r="H279" s="13"/>
    </row>
    <row r="280" spans="1:8" ht="14.25" x14ac:dyDescent="0.3">
      <c r="A280" s="301"/>
      <c r="B280" s="309"/>
      <c r="C280" s="301"/>
      <c r="D280" s="302"/>
      <c r="E280" s="447"/>
      <c r="F280" s="447"/>
      <c r="G280" s="13"/>
      <c r="H280" s="13"/>
    </row>
    <row r="281" spans="1:8" ht="14.25" x14ac:dyDescent="0.3">
      <c r="A281" s="301"/>
      <c r="B281" s="309"/>
      <c r="C281" s="301"/>
      <c r="D281" s="302"/>
      <c r="E281" s="447"/>
      <c r="F281" s="447"/>
      <c r="G281" s="13"/>
      <c r="H281" s="13"/>
    </row>
    <row r="282" spans="1:8" ht="14.25" x14ac:dyDescent="0.3">
      <c r="A282" s="301"/>
      <c r="B282" s="309"/>
      <c r="C282" s="301"/>
      <c r="D282" s="302"/>
      <c r="E282" s="447"/>
      <c r="F282" s="447"/>
      <c r="G282" s="13"/>
      <c r="H282" s="13"/>
    </row>
    <row r="283" spans="1:8" ht="13.5" x14ac:dyDescent="0.25">
      <c r="A283" s="299"/>
      <c r="B283" s="299"/>
      <c r="C283" s="299"/>
      <c r="D283" s="300"/>
      <c r="E283" s="448"/>
      <c r="F283" s="448"/>
      <c r="G283" s="13"/>
      <c r="H283" s="13"/>
    </row>
    <row r="284" spans="1:8" ht="14.25" x14ac:dyDescent="0.3">
      <c r="A284" s="301"/>
      <c r="B284" s="309"/>
      <c r="C284" s="301"/>
      <c r="D284" s="302"/>
      <c r="E284" s="447"/>
      <c r="F284" s="447"/>
      <c r="G284" s="13"/>
      <c r="H284" s="13"/>
    </row>
    <row r="285" spans="1:8" ht="14.25" x14ac:dyDescent="0.3">
      <c r="A285" s="301"/>
      <c r="B285" s="309"/>
      <c r="C285" s="301"/>
      <c r="D285" s="302"/>
      <c r="E285" s="447"/>
      <c r="F285" s="447"/>
      <c r="G285" s="13"/>
      <c r="H285" s="13"/>
    </row>
    <row r="286" spans="1:8" ht="14.25" x14ac:dyDescent="0.3">
      <c r="A286" s="301"/>
      <c r="B286" s="309"/>
      <c r="C286" s="301"/>
      <c r="D286" s="302"/>
      <c r="E286" s="447"/>
      <c r="F286" s="447"/>
      <c r="G286" s="13"/>
      <c r="H286" s="13"/>
    </row>
    <row r="287" spans="1:8" ht="14.25" x14ac:dyDescent="0.3">
      <c r="A287" s="301"/>
      <c r="B287" s="309"/>
      <c r="C287" s="301"/>
      <c r="D287" s="302"/>
      <c r="E287" s="447"/>
      <c r="F287" s="447"/>
      <c r="G287" s="13"/>
      <c r="H287" s="13"/>
    </row>
    <row r="288" spans="1:8" ht="13.5" x14ac:dyDescent="0.25">
      <c r="A288" s="299"/>
      <c r="B288" s="299"/>
      <c r="C288" s="299"/>
      <c r="D288" s="300"/>
      <c r="E288" s="448"/>
      <c r="F288" s="448"/>
      <c r="G288" s="13"/>
      <c r="H288" s="13"/>
    </row>
    <row r="289" spans="1:8" ht="14.25" x14ac:dyDescent="0.3">
      <c r="A289" s="301"/>
      <c r="B289" s="309"/>
      <c r="C289" s="301"/>
      <c r="D289" s="302"/>
      <c r="E289" s="447"/>
      <c r="F289" s="447"/>
      <c r="G289" s="13"/>
      <c r="H289" s="13"/>
    </row>
    <row r="290" spans="1:8" ht="14.25" x14ac:dyDescent="0.3">
      <c r="A290" s="301"/>
      <c r="B290" s="309"/>
      <c r="C290" s="301"/>
      <c r="D290" s="302"/>
      <c r="E290" s="447"/>
      <c r="F290" s="447"/>
      <c r="G290" s="13"/>
      <c r="H290" s="13"/>
    </row>
    <row r="291" spans="1:8" ht="14.25" x14ac:dyDescent="0.3">
      <c r="A291" s="301"/>
      <c r="B291" s="309"/>
      <c r="C291" s="301"/>
      <c r="D291" s="302"/>
      <c r="E291" s="447"/>
      <c r="F291" s="447"/>
      <c r="G291" s="13"/>
      <c r="H291" s="13"/>
    </row>
    <row r="292" spans="1:8" ht="14.25" x14ac:dyDescent="0.3">
      <c r="A292" s="301"/>
      <c r="B292" s="309"/>
      <c r="C292" s="301"/>
      <c r="D292" s="302"/>
      <c r="E292" s="447"/>
      <c r="F292" s="447"/>
      <c r="G292" s="13"/>
      <c r="H292" s="13"/>
    </row>
    <row r="293" spans="1:8" ht="13.5" x14ac:dyDescent="0.25">
      <c r="A293" s="299"/>
      <c r="B293" s="299"/>
      <c r="C293" s="299"/>
      <c r="D293" s="300"/>
      <c r="E293" s="448"/>
      <c r="F293" s="448"/>
      <c r="G293" s="13"/>
      <c r="H293" s="13"/>
    </row>
    <row r="294" spans="1:8" ht="14.25" x14ac:dyDescent="0.3">
      <c r="A294" s="301"/>
      <c r="B294" s="309"/>
      <c r="C294" s="301"/>
      <c r="D294" s="302"/>
      <c r="E294" s="447"/>
      <c r="F294" s="447"/>
      <c r="G294" s="13"/>
      <c r="H294" s="13"/>
    </row>
    <row r="295" spans="1:8" ht="14.25" x14ac:dyDescent="0.3">
      <c r="A295" s="301"/>
      <c r="B295" s="309"/>
      <c r="C295" s="301"/>
      <c r="D295" s="302"/>
      <c r="E295" s="447"/>
      <c r="F295" s="447"/>
      <c r="G295" s="13"/>
      <c r="H295" s="13"/>
    </row>
    <row r="296" spans="1:8" ht="14.25" x14ac:dyDescent="0.3">
      <c r="A296" s="301"/>
      <c r="B296" s="309"/>
      <c r="C296" s="301"/>
      <c r="D296" s="302"/>
      <c r="E296" s="447"/>
      <c r="F296" s="447"/>
      <c r="G296" s="13"/>
      <c r="H296" s="13"/>
    </row>
    <row r="297" spans="1:8" ht="14.25" x14ac:dyDescent="0.3">
      <c r="A297" s="301"/>
      <c r="B297" s="309"/>
      <c r="C297" s="301"/>
      <c r="D297" s="302"/>
      <c r="E297" s="447"/>
      <c r="F297" s="447"/>
      <c r="G297" s="13"/>
      <c r="H297" s="13"/>
    </row>
    <row r="298" spans="1:8" ht="13.5" x14ac:dyDescent="0.25">
      <c r="A298" s="299"/>
      <c r="B298" s="299"/>
      <c r="C298" s="299"/>
      <c r="D298" s="300"/>
      <c r="E298" s="448"/>
      <c r="F298" s="448"/>
      <c r="G298" s="13"/>
      <c r="H298" s="13"/>
    </row>
    <row r="299" spans="1:8" ht="14.25" x14ac:dyDescent="0.3">
      <c r="A299" s="301"/>
      <c r="B299" s="309"/>
      <c r="C299" s="301"/>
      <c r="D299" s="302"/>
      <c r="E299" s="447"/>
      <c r="F299" s="447"/>
      <c r="G299" s="13"/>
      <c r="H299" s="13"/>
    </row>
    <row r="300" spans="1:8" ht="14.25" x14ac:dyDescent="0.3">
      <c r="A300" s="301"/>
      <c r="B300" s="309"/>
      <c r="C300" s="301"/>
      <c r="D300" s="302"/>
      <c r="E300" s="447"/>
      <c r="F300" s="447"/>
      <c r="G300" s="13"/>
      <c r="H300" s="13"/>
    </row>
    <row r="301" spans="1:8" ht="14.25" x14ac:dyDescent="0.3">
      <c r="A301" s="301"/>
      <c r="B301" s="309"/>
      <c r="C301" s="301"/>
      <c r="D301" s="302"/>
      <c r="E301" s="447"/>
      <c r="F301" s="447"/>
      <c r="G301" s="13"/>
      <c r="H301" s="13"/>
    </row>
    <row r="302" spans="1:8" ht="14.25" x14ac:dyDescent="0.3">
      <c r="A302" s="301"/>
      <c r="B302" s="309"/>
      <c r="C302" s="301"/>
      <c r="D302" s="302"/>
      <c r="E302" s="447"/>
      <c r="F302" s="447"/>
      <c r="G302" s="13"/>
      <c r="H302" s="13"/>
    </row>
    <row r="303" spans="1:8" ht="13.5" x14ac:dyDescent="0.25">
      <c r="A303" s="299"/>
      <c r="B303" s="299"/>
      <c r="C303" s="299"/>
      <c r="D303" s="300"/>
      <c r="E303" s="448"/>
      <c r="F303" s="448"/>
      <c r="G303" s="13"/>
      <c r="H303" s="13"/>
    </row>
    <row r="304" spans="1:8" ht="14.25" x14ac:dyDescent="0.3">
      <c r="A304" s="301"/>
      <c r="B304" s="309"/>
      <c r="C304" s="301"/>
      <c r="D304" s="302"/>
      <c r="E304" s="447"/>
      <c r="F304" s="447"/>
      <c r="G304" s="13"/>
      <c r="H304" s="13"/>
    </row>
    <row r="305" spans="1:8" ht="14.25" x14ac:dyDescent="0.3">
      <c r="A305" s="301"/>
      <c r="B305" s="309"/>
      <c r="C305" s="301"/>
      <c r="D305" s="302"/>
      <c r="E305" s="447"/>
      <c r="F305" s="447"/>
      <c r="G305" s="13"/>
      <c r="H305" s="13"/>
    </row>
    <row r="306" spans="1:8" ht="14.25" x14ac:dyDescent="0.3">
      <c r="A306" s="301"/>
      <c r="B306" s="309"/>
      <c r="C306" s="301"/>
      <c r="D306" s="302"/>
      <c r="E306" s="447"/>
      <c r="F306" s="447"/>
      <c r="G306" s="13"/>
      <c r="H306" s="13"/>
    </row>
    <row r="307" spans="1:8" ht="14.25" x14ac:dyDescent="0.3">
      <c r="A307" s="301"/>
      <c r="B307" s="309"/>
      <c r="C307" s="301"/>
      <c r="D307" s="302"/>
      <c r="E307" s="447"/>
      <c r="F307" s="447"/>
      <c r="G307" s="13"/>
      <c r="H307" s="13"/>
    </row>
    <row r="308" spans="1:8" ht="13.5" x14ac:dyDescent="0.25">
      <c r="A308" s="299"/>
      <c r="B308" s="299"/>
      <c r="C308" s="299"/>
      <c r="D308" s="300"/>
      <c r="E308" s="448"/>
      <c r="F308" s="448"/>
      <c r="G308" s="13"/>
      <c r="H308" s="13"/>
    </row>
    <row r="309" spans="1:8" ht="14.25" x14ac:dyDescent="0.3">
      <c r="A309" s="301"/>
      <c r="B309" s="309"/>
      <c r="C309" s="301"/>
      <c r="D309" s="302"/>
      <c r="E309" s="447"/>
      <c r="F309" s="447"/>
      <c r="G309" s="13"/>
      <c r="H309" s="13"/>
    </row>
    <row r="310" spans="1:8" ht="14.25" x14ac:dyDescent="0.3">
      <c r="A310" s="301"/>
      <c r="B310" s="309"/>
      <c r="C310" s="301"/>
      <c r="D310" s="302"/>
      <c r="E310" s="447"/>
      <c r="F310" s="447"/>
      <c r="G310" s="13"/>
      <c r="H310" s="13"/>
    </row>
    <row r="311" spans="1:8" ht="14.25" x14ac:dyDescent="0.3">
      <c r="A311" s="301"/>
      <c r="B311" s="309"/>
      <c r="C311" s="301"/>
      <c r="D311" s="302"/>
      <c r="E311" s="447"/>
      <c r="F311" s="447"/>
      <c r="G311" s="13"/>
      <c r="H311" s="13"/>
    </row>
    <row r="312" spans="1:8" ht="14.25" x14ac:dyDescent="0.3">
      <c r="A312" s="301"/>
      <c r="B312" s="309"/>
      <c r="C312" s="301"/>
      <c r="D312" s="302"/>
      <c r="E312" s="447"/>
      <c r="F312" s="447"/>
      <c r="G312" s="13"/>
      <c r="H312" s="13"/>
    </row>
    <row r="313" spans="1:8" ht="13.5" x14ac:dyDescent="0.25">
      <c r="A313" s="299"/>
      <c r="B313" s="299"/>
      <c r="C313" s="299"/>
      <c r="D313" s="300"/>
      <c r="E313" s="448"/>
      <c r="F313" s="448"/>
      <c r="G313" s="13"/>
      <c r="H313" s="13"/>
    </row>
    <row r="314" spans="1:8" ht="14.25" x14ac:dyDescent="0.3">
      <c r="A314" s="301"/>
      <c r="B314" s="309"/>
      <c r="C314" s="301"/>
      <c r="D314" s="302"/>
      <c r="E314" s="447"/>
      <c r="F314" s="447"/>
      <c r="G314" s="13"/>
      <c r="H314" s="13"/>
    </row>
    <row r="315" spans="1:8" ht="14.25" x14ac:dyDescent="0.3">
      <c r="A315" s="301"/>
      <c r="B315" s="309"/>
      <c r="C315" s="301"/>
      <c r="D315" s="302"/>
      <c r="E315" s="447"/>
      <c r="F315" s="447"/>
      <c r="G315" s="13"/>
      <c r="H315" s="13"/>
    </row>
    <row r="316" spans="1:8" ht="14.25" x14ac:dyDescent="0.3">
      <c r="A316" s="301"/>
      <c r="B316" s="309"/>
      <c r="C316" s="301"/>
      <c r="D316" s="302"/>
      <c r="E316" s="447"/>
      <c r="F316" s="447"/>
      <c r="G316" s="13"/>
      <c r="H316" s="13"/>
    </row>
    <row r="317" spans="1:8" ht="14.25" x14ac:dyDescent="0.3">
      <c r="A317" s="301"/>
      <c r="B317" s="309"/>
      <c r="C317" s="301"/>
      <c r="D317" s="302"/>
      <c r="E317" s="447"/>
      <c r="F317" s="447"/>
      <c r="G317" s="13"/>
      <c r="H317" s="13"/>
    </row>
    <row r="318" spans="1:8" ht="13.5" x14ac:dyDescent="0.25">
      <c r="A318" s="299"/>
      <c r="B318" s="299"/>
      <c r="C318" s="299"/>
      <c r="D318" s="300"/>
      <c r="E318" s="448"/>
      <c r="F318" s="448"/>
      <c r="G318" s="13"/>
      <c r="H318" s="13"/>
    </row>
    <row r="319" spans="1:8" ht="14.25" x14ac:dyDescent="0.3">
      <c r="A319" s="301"/>
      <c r="B319" s="309"/>
      <c r="C319" s="301"/>
      <c r="D319" s="302"/>
      <c r="E319" s="447"/>
      <c r="F319" s="447"/>
      <c r="G319" s="13"/>
      <c r="H319" s="13"/>
    </row>
    <row r="320" spans="1:8" ht="14.25" x14ac:dyDescent="0.3">
      <c r="A320" s="301"/>
      <c r="B320" s="309"/>
      <c r="C320" s="301"/>
      <c r="D320" s="302"/>
      <c r="E320" s="447"/>
      <c r="F320" s="447"/>
      <c r="G320" s="13"/>
      <c r="H320" s="13"/>
    </row>
    <row r="321" spans="1:8" ht="14.25" x14ac:dyDescent="0.3">
      <c r="A321" s="301"/>
      <c r="B321" s="309"/>
      <c r="C321" s="301"/>
      <c r="D321" s="302"/>
      <c r="E321" s="447"/>
      <c r="F321" s="447"/>
      <c r="G321" s="13"/>
      <c r="H321" s="13"/>
    </row>
    <row r="322" spans="1:8" ht="14.25" x14ac:dyDescent="0.3">
      <c r="A322" s="301"/>
      <c r="B322" s="309"/>
      <c r="C322" s="301"/>
      <c r="D322" s="302"/>
      <c r="E322" s="447"/>
      <c r="F322" s="447"/>
      <c r="G322" s="13"/>
      <c r="H322" s="13"/>
    </row>
    <row r="323" spans="1:8" ht="13.5" x14ac:dyDescent="0.25">
      <c r="A323" s="299"/>
      <c r="B323" s="299"/>
      <c r="C323" s="299"/>
      <c r="D323" s="300"/>
      <c r="E323" s="448"/>
      <c r="F323" s="448"/>
      <c r="G323" s="13"/>
      <c r="H323" s="13"/>
    </row>
    <row r="324" spans="1:8" ht="14.25" x14ac:dyDescent="0.3">
      <c r="A324" s="301"/>
      <c r="B324" s="309"/>
      <c r="C324" s="301"/>
      <c r="D324" s="302"/>
      <c r="E324" s="447"/>
      <c r="F324" s="447"/>
      <c r="G324" s="13"/>
      <c r="H324" s="13"/>
    </row>
    <row r="325" spans="1:8" ht="14.25" x14ac:dyDescent="0.3">
      <c r="A325" s="301"/>
      <c r="B325" s="309"/>
      <c r="C325" s="301"/>
      <c r="D325" s="302"/>
      <c r="E325" s="447"/>
      <c r="F325" s="447"/>
      <c r="G325" s="13"/>
      <c r="H325" s="13"/>
    </row>
    <row r="326" spans="1:8" ht="14.25" x14ac:dyDescent="0.3">
      <c r="A326" s="301"/>
      <c r="B326" s="309"/>
      <c r="C326" s="301"/>
      <c r="D326" s="302"/>
      <c r="E326" s="447"/>
      <c r="F326" s="447"/>
      <c r="G326" s="13"/>
      <c r="H326" s="13"/>
    </row>
    <row r="327" spans="1:8" ht="14.25" x14ac:dyDescent="0.3">
      <c r="A327" s="301"/>
      <c r="B327" s="309"/>
      <c r="C327" s="301"/>
      <c r="D327" s="302"/>
      <c r="E327" s="447"/>
      <c r="F327" s="447"/>
      <c r="G327" s="13"/>
      <c r="H327" s="13"/>
    </row>
    <row r="328" spans="1:8" ht="13.5" x14ac:dyDescent="0.25">
      <c r="A328" s="299"/>
      <c r="B328" s="299"/>
      <c r="C328" s="299"/>
      <c r="D328" s="300"/>
      <c r="E328" s="448"/>
      <c r="F328" s="448"/>
      <c r="G328" s="13"/>
      <c r="H328" s="13"/>
    </row>
    <row r="329" spans="1:8" ht="14.25" x14ac:dyDescent="0.3">
      <c r="A329" s="301"/>
      <c r="B329" s="309"/>
      <c r="C329" s="301"/>
      <c r="D329" s="302"/>
      <c r="E329" s="447"/>
      <c r="F329" s="447"/>
      <c r="G329" s="13"/>
      <c r="H329" s="13"/>
    </row>
    <row r="330" spans="1:8" ht="14.25" x14ac:dyDescent="0.3">
      <c r="A330" s="301"/>
      <c r="B330" s="309"/>
      <c r="C330" s="301"/>
      <c r="D330" s="302"/>
      <c r="E330" s="447"/>
      <c r="F330" s="447"/>
      <c r="G330" s="13"/>
      <c r="H330" s="13"/>
    </row>
    <row r="331" spans="1:8" ht="14.25" x14ac:dyDescent="0.3">
      <c r="A331" s="301"/>
      <c r="B331" s="309"/>
      <c r="C331" s="301"/>
      <c r="D331" s="302"/>
      <c r="E331" s="447"/>
      <c r="F331" s="447"/>
      <c r="G331" s="13"/>
      <c r="H331" s="13"/>
    </row>
    <row r="332" spans="1:8" ht="14.25" x14ac:dyDescent="0.3">
      <c r="A332" s="301"/>
      <c r="B332" s="309"/>
      <c r="C332" s="301"/>
      <c r="D332" s="302"/>
      <c r="E332" s="447"/>
      <c r="F332" s="447"/>
      <c r="G332" s="13"/>
      <c r="H332" s="13"/>
    </row>
    <row r="333" spans="1:8" ht="13.5" x14ac:dyDescent="0.25">
      <c r="A333" s="299"/>
      <c r="B333" s="299"/>
      <c r="C333" s="299"/>
      <c r="D333" s="300"/>
      <c r="E333" s="448"/>
      <c r="F333" s="448"/>
      <c r="G333" s="13"/>
      <c r="H333" s="13"/>
    </row>
    <row r="334" spans="1:8" ht="14.25" x14ac:dyDescent="0.3">
      <c r="A334" s="301"/>
      <c r="B334" s="309"/>
      <c r="C334" s="301"/>
      <c r="D334" s="302"/>
      <c r="E334" s="447"/>
      <c r="F334" s="447"/>
      <c r="G334" s="13"/>
      <c r="H334" s="13"/>
    </row>
    <row r="335" spans="1:8" ht="14.25" x14ac:dyDescent="0.3">
      <c r="A335" s="301"/>
      <c r="B335" s="309"/>
      <c r="C335" s="301"/>
      <c r="D335" s="302"/>
      <c r="E335" s="447"/>
      <c r="F335" s="447"/>
      <c r="G335" s="13"/>
      <c r="H335" s="13"/>
    </row>
    <row r="336" spans="1:8" ht="14.25" x14ac:dyDescent="0.3">
      <c r="A336" s="301"/>
      <c r="B336" s="309"/>
      <c r="C336" s="301"/>
      <c r="D336" s="302"/>
      <c r="E336" s="447"/>
      <c r="F336" s="447"/>
      <c r="G336" s="13"/>
      <c r="H336" s="13"/>
    </row>
    <row r="337" spans="1:8" ht="14.25" x14ac:dyDescent="0.3">
      <c r="A337" s="301"/>
      <c r="B337" s="309"/>
      <c r="C337" s="301"/>
      <c r="D337" s="302"/>
      <c r="E337" s="447"/>
      <c r="F337" s="447"/>
      <c r="G337" s="13"/>
      <c r="H337" s="13"/>
    </row>
    <row r="338" spans="1:8" ht="13.5" x14ac:dyDescent="0.25">
      <c r="A338" s="299"/>
      <c r="B338" s="299"/>
      <c r="C338" s="299"/>
      <c r="D338" s="300"/>
      <c r="E338" s="448"/>
      <c r="F338" s="448"/>
      <c r="G338" s="13"/>
      <c r="H338" s="13"/>
    </row>
    <row r="339" spans="1:8" ht="14.25" x14ac:dyDescent="0.3">
      <c r="A339" s="301"/>
      <c r="B339" s="309"/>
      <c r="C339" s="301"/>
      <c r="D339" s="302"/>
      <c r="E339" s="447"/>
      <c r="F339" s="447"/>
      <c r="G339" s="13"/>
      <c r="H339" s="13"/>
    </row>
    <row r="340" spans="1:8" ht="14.25" x14ac:dyDescent="0.3">
      <c r="A340" s="301"/>
      <c r="B340" s="309"/>
      <c r="C340" s="301"/>
      <c r="D340" s="302"/>
      <c r="E340" s="447"/>
      <c r="F340" s="447"/>
      <c r="G340" s="13"/>
      <c r="H340" s="13"/>
    </row>
    <row r="341" spans="1:8" ht="14.25" x14ac:dyDescent="0.3">
      <c r="A341" s="301"/>
      <c r="B341" s="309"/>
      <c r="C341" s="301"/>
      <c r="D341" s="302"/>
      <c r="E341" s="447"/>
      <c r="F341" s="447"/>
      <c r="G341" s="13"/>
      <c r="H341" s="13"/>
    </row>
    <row r="342" spans="1:8" ht="14.25" x14ac:dyDescent="0.3">
      <c r="A342" s="301"/>
      <c r="B342" s="309"/>
      <c r="C342" s="301"/>
      <c r="D342" s="302"/>
      <c r="E342" s="447"/>
      <c r="F342" s="447"/>
      <c r="G342" s="13"/>
      <c r="H342" s="13"/>
    </row>
    <row r="343" spans="1:8" ht="13.5" x14ac:dyDescent="0.25">
      <c r="A343" s="299"/>
      <c r="B343" s="299"/>
      <c r="C343" s="299"/>
      <c r="D343" s="300"/>
      <c r="E343" s="448"/>
      <c r="F343" s="448"/>
      <c r="G343" s="13"/>
      <c r="H343" s="13"/>
    </row>
    <row r="344" spans="1:8" ht="14.25" x14ac:dyDescent="0.3">
      <c r="A344" s="301"/>
      <c r="B344" s="309"/>
      <c r="C344" s="301"/>
      <c r="D344" s="302"/>
      <c r="E344" s="447"/>
      <c r="F344" s="447"/>
      <c r="G344" s="13"/>
      <c r="H344" s="13"/>
    </row>
    <row r="345" spans="1:8" ht="14.25" x14ac:dyDescent="0.3">
      <c r="A345" s="301"/>
      <c r="B345" s="309"/>
      <c r="C345" s="301"/>
      <c r="D345" s="302"/>
      <c r="E345" s="447"/>
      <c r="F345" s="447"/>
      <c r="G345" s="13"/>
      <c r="H345" s="13"/>
    </row>
    <row r="346" spans="1:8" ht="14.25" x14ac:dyDescent="0.3">
      <c r="A346" s="301"/>
      <c r="B346" s="309"/>
      <c r="C346" s="301"/>
      <c r="D346" s="302"/>
      <c r="E346" s="447"/>
      <c r="F346" s="447"/>
      <c r="G346" s="13"/>
      <c r="H346" s="13"/>
    </row>
    <row r="347" spans="1:8" ht="14.25" x14ac:dyDescent="0.3">
      <c r="A347" s="301"/>
      <c r="B347" s="309"/>
      <c r="C347" s="301"/>
      <c r="D347" s="302"/>
      <c r="E347" s="447"/>
      <c r="F347" s="447"/>
      <c r="G347" s="13"/>
      <c r="H347" s="13"/>
    </row>
    <row r="348" spans="1:8" ht="13.5" x14ac:dyDescent="0.25">
      <c r="A348" s="299"/>
      <c r="B348" s="299"/>
      <c r="C348" s="299"/>
      <c r="D348" s="300"/>
      <c r="E348" s="448"/>
      <c r="F348" s="448"/>
      <c r="G348" s="13"/>
      <c r="H348" s="13"/>
    </row>
    <row r="349" spans="1:8" ht="14.25" x14ac:dyDescent="0.3">
      <c r="A349" s="301"/>
      <c r="B349" s="309"/>
      <c r="C349" s="301"/>
      <c r="D349" s="302"/>
      <c r="E349" s="447"/>
      <c r="F349" s="447"/>
      <c r="G349" s="13"/>
      <c r="H349" s="13"/>
    </row>
    <row r="350" spans="1:8" ht="14.25" x14ac:dyDescent="0.3">
      <c r="A350" s="301"/>
      <c r="B350" s="309"/>
      <c r="C350" s="301"/>
      <c r="D350" s="302"/>
      <c r="E350" s="447"/>
      <c r="F350" s="447"/>
      <c r="G350" s="13"/>
      <c r="H350" s="13"/>
    </row>
    <row r="351" spans="1:8" ht="14.25" x14ac:dyDescent="0.3">
      <c r="A351" s="301"/>
      <c r="B351" s="309"/>
      <c r="C351" s="301"/>
      <c r="D351" s="302"/>
      <c r="E351" s="447"/>
      <c r="F351" s="447"/>
      <c r="G351" s="13"/>
      <c r="H351" s="13"/>
    </row>
    <row r="352" spans="1:8" ht="14.25" x14ac:dyDescent="0.3">
      <c r="A352" s="301"/>
      <c r="B352" s="309"/>
      <c r="C352" s="301"/>
      <c r="D352" s="302"/>
      <c r="E352" s="447"/>
      <c r="F352" s="447"/>
      <c r="G352" s="13"/>
      <c r="H352" s="13"/>
    </row>
    <row r="353" spans="1:8" ht="13.5" x14ac:dyDescent="0.25">
      <c r="A353" s="299"/>
      <c r="B353" s="299"/>
      <c r="C353" s="299"/>
      <c r="D353" s="300"/>
      <c r="E353" s="448"/>
      <c r="F353" s="448"/>
      <c r="G353" s="13"/>
      <c r="H353" s="13"/>
    </row>
    <row r="354" spans="1:8" ht="14.25" x14ac:dyDescent="0.3">
      <c r="A354" s="301"/>
      <c r="B354" s="309"/>
      <c r="C354" s="301"/>
      <c r="D354" s="302"/>
      <c r="E354" s="447"/>
      <c r="F354" s="447"/>
      <c r="G354" s="13"/>
      <c r="H354" s="13"/>
    </row>
    <row r="355" spans="1:8" ht="14.25" x14ac:dyDescent="0.3">
      <c r="A355" s="301"/>
      <c r="B355" s="309"/>
      <c r="C355" s="301"/>
      <c r="D355" s="302"/>
      <c r="E355" s="447"/>
      <c r="F355" s="447"/>
      <c r="G355" s="13"/>
      <c r="H355" s="13"/>
    </row>
    <row r="356" spans="1:8" ht="14.25" x14ac:dyDescent="0.3">
      <c r="A356" s="301"/>
      <c r="B356" s="309"/>
      <c r="C356" s="301"/>
      <c r="D356" s="302"/>
      <c r="E356" s="447"/>
      <c r="F356" s="447"/>
      <c r="G356" s="13"/>
      <c r="H356" s="13"/>
    </row>
    <row r="357" spans="1:8" ht="14.25" x14ac:dyDescent="0.3">
      <c r="A357" s="301"/>
      <c r="B357" s="309"/>
      <c r="C357" s="301"/>
      <c r="D357" s="302"/>
      <c r="E357" s="447"/>
      <c r="F357" s="447"/>
      <c r="G357" s="13"/>
      <c r="H357" s="13"/>
    </row>
    <row r="358" spans="1:8" ht="13.5" x14ac:dyDescent="0.25">
      <c r="A358" s="299"/>
      <c r="B358" s="299"/>
      <c r="C358" s="299"/>
      <c r="D358" s="300"/>
      <c r="E358" s="448"/>
      <c r="F358" s="448"/>
      <c r="G358" s="13"/>
      <c r="H358" s="13"/>
    </row>
    <row r="359" spans="1:8" ht="14.25" x14ac:dyDescent="0.3">
      <c r="A359" s="301"/>
      <c r="B359" s="309"/>
      <c r="C359" s="301"/>
      <c r="D359" s="302"/>
      <c r="E359" s="447"/>
      <c r="F359" s="447"/>
      <c r="G359" s="13"/>
      <c r="H359" s="13"/>
    </row>
    <row r="360" spans="1:8" ht="14.25" x14ac:dyDescent="0.3">
      <c r="A360" s="301"/>
      <c r="B360" s="309"/>
      <c r="C360" s="301"/>
      <c r="D360" s="302"/>
      <c r="E360" s="447"/>
      <c r="F360" s="447"/>
      <c r="G360" s="13"/>
      <c r="H360" s="13"/>
    </row>
    <row r="361" spans="1:8" ht="14.25" x14ac:dyDescent="0.3">
      <c r="A361" s="301"/>
      <c r="B361" s="309"/>
      <c r="C361" s="301"/>
      <c r="D361" s="302"/>
      <c r="E361" s="447"/>
      <c r="F361" s="447"/>
      <c r="G361" s="13"/>
      <c r="H361" s="13"/>
    </row>
    <row r="362" spans="1:8" ht="14.25" x14ac:dyDescent="0.3">
      <c r="A362" s="301"/>
      <c r="B362" s="309"/>
      <c r="C362" s="301"/>
      <c r="D362" s="302"/>
      <c r="E362" s="447"/>
      <c r="F362" s="447"/>
      <c r="G362" s="13"/>
      <c r="H362" s="13"/>
    </row>
    <row r="363" spans="1:8" ht="13.5" x14ac:dyDescent="0.25">
      <c r="A363" s="299"/>
      <c r="B363" s="299"/>
      <c r="C363" s="299"/>
      <c r="D363" s="300"/>
      <c r="E363" s="448"/>
      <c r="F363" s="448"/>
      <c r="G363" s="13"/>
      <c r="H363" s="13"/>
    </row>
    <row r="364" spans="1:8" ht="14.25" x14ac:dyDescent="0.3">
      <c r="A364" s="301"/>
      <c r="B364" s="309"/>
      <c r="C364" s="301"/>
      <c r="D364" s="302"/>
      <c r="E364" s="447"/>
      <c r="F364" s="447"/>
      <c r="G364" s="13"/>
      <c r="H364" s="13"/>
    </row>
    <row r="365" spans="1:8" ht="14.25" x14ac:dyDescent="0.3">
      <c r="A365" s="301"/>
      <c r="B365" s="309"/>
      <c r="C365" s="301"/>
      <c r="D365" s="302"/>
      <c r="E365" s="447"/>
      <c r="F365" s="447"/>
      <c r="G365" s="13"/>
      <c r="H365" s="13"/>
    </row>
    <row r="366" spans="1:8" ht="14.25" x14ac:dyDescent="0.3">
      <c r="A366" s="301"/>
      <c r="B366" s="309"/>
      <c r="C366" s="301"/>
      <c r="D366" s="302"/>
      <c r="E366" s="447"/>
      <c r="F366" s="447"/>
      <c r="G366" s="13"/>
      <c r="H366" s="13"/>
    </row>
    <row r="367" spans="1:8" ht="14.25" x14ac:dyDescent="0.3">
      <c r="A367" s="301"/>
      <c r="B367" s="309"/>
      <c r="C367" s="301"/>
      <c r="D367" s="302"/>
      <c r="E367" s="447"/>
      <c r="F367" s="447"/>
      <c r="G367" s="13"/>
      <c r="H367" s="13"/>
    </row>
    <row r="368" spans="1:8" ht="13.5" x14ac:dyDescent="0.25">
      <c r="A368" s="299"/>
      <c r="B368" s="299"/>
      <c r="C368" s="299"/>
      <c r="D368" s="300"/>
      <c r="E368" s="448"/>
      <c r="F368" s="448"/>
      <c r="G368" s="13"/>
      <c r="H368" s="13"/>
    </row>
    <row r="369" spans="1:8" ht="14.25" x14ac:dyDescent="0.3">
      <c r="A369" s="301"/>
      <c r="B369" s="309"/>
      <c r="C369" s="301"/>
      <c r="D369" s="302"/>
      <c r="E369" s="447"/>
      <c r="F369" s="447"/>
      <c r="G369" s="13"/>
      <c r="H369" s="13"/>
    </row>
    <row r="370" spans="1:8" ht="14.25" x14ac:dyDescent="0.3">
      <c r="A370" s="301"/>
      <c r="B370" s="309"/>
      <c r="C370" s="301"/>
      <c r="D370" s="302"/>
      <c r="E370" s="447"/>
      <c r="F370" s="447"/>
      <c r="G370" s="13"/>
      <c r="H370" s="13"/>
    </row>
    <row r="371" spans="1:8" ht="14.25" x14ac:dyDescent="0.3">
      <c r="A371" s="301"/>
      <c r="B371" s="309"/>
      <c r="C371" s="301"/>
      <c r="D371" s="302"/>
      <c r="E371" s="447"/>
      <c r="F371" s="447"/>
      <c r="G371" s="13"/>
      <c r="H371" s="13"/>
    </row>
    <row r="372" spans="1:8" ht="14.25" x14ac:dyDescent="0.3">
      <c r="A372" s="301"/>
      <c r="B372" s="309"/>
      <c r="C372" s="301"/>
      <c r="D372" s="302"/>
      <c r="E372" s="447"/>
      <c r="F372" s="447"/>
      <c r="G372" s="13"/>
      <c r="H372" s="13"/>
    </row>
    <row r="373" spans="1:8" ht="13.5" x14ac:dyDescent="0.25">
      <c r="A373" s="299"/>
      <c r="B373" s="299"/>
      <c r="C373" s="299"/>
      <c r="D373" s="300"/>
      <c r="E373" s="448"/>
      <c r="F373" s="448"/>
      <c r="G373" s="13"/>
      <c r="H373" s="13"/>
    </row>
    <row r="374" spans="1:8" ht="14.25" x14ac:dyDescent="0.3">
      <c r="A374" s="301"/>
      <c r="B374" s="309"/>
      <c r="C374" s="301"/>
      <c r="D374" s="302"/>
      <c r="E374" s="447"/>
      <c r="F374" s="447"/>
      <c r="G374" s="13"/>
      <c r="H374" s="13"/>
    </row>
    <row r="375" spans="1:8" ht="14.25" x14ac:dyDescent="0.3">
      <c r="A375" s="301"/>
      <c r="B375" s="309"/>
      <c r="C375" s="301"/>
      <c r="D375" s="302"/>
      <c r="E375" s="447"/>
      <c r="F375" s="447"/>
      <c r="G375" s="13"/>
      <c r="H375" s="13"/>
    </row>
    <row r="376" spans="1:8" ht="14.25" x14ac:dyDescent="0.3">
      <c r="A376" s="301"/>
      <c r="B376" s="309"/>
      <c r="C376" s="301"/>
      <c r="D376" s="302"/>
      <c r="E376" s="447"/>
      <c r="F376" s="447"/>
      <c r="G376" s="13"/>
      <c r="H376" s="13"/>
    </row>
    <row r="377" spans="1:8" ht="14.25" x14ac:dyDescent="0.3">
      <c r="A377" s="301"/>
      <c r="B377" s="309"/>
      <c r="C377" s="301"/>
      <c r="D377" s="302"/>
      <c r="E377" s="447"/>
      <c r="F377" s="447"/>
      <c r="G377" s="13"/>
      <c r="H377" s="13"/>
    </row>
    <row r="378" spans="1:8" ht="13.5" x14ac:dyDescent="0.25">
      <c r="A378" s="299"/>
      <c r="B378" s="299"/>
      <c r="C378" s="299"/>
      <c r="D378" s="300"/>
      <c r="E378" s="448"/>
      <c r="F378" s="448"/>
      <c r="G378" s="13"/>
      <c r="H378" s="13"/>
    </row>
    <row r="379" spans="1:8" ht="14.25" x14ac:dyDescent="0.3">
      <c r="A379" s="301"/>
      <c r="B379" s="309"/>
      <c r="C379" s="301"/>
      <c r="D379" s="302"/>
      <c r="E379" s="447"/>
      <c r="F379" s="447"/>
      <c r="G379" s="13"/>
      <c r="H379" s="13"/>
    </row>
    <row r="380" spans="1:8" ht="14.25" x14ac:dyDescent="0.3">
      <c r="A380" s="301"/>
      <c r="B380" s="309"/>
      <c r="C380" s="301"/>
      <c r="D380" s="302"/>
      <c r="E380" s="447"/>
      <c r="F380" s="447"/>
      <c r="G380" s="13"/>
      <c r="H380" s="13"/>
    </row>
    <row r="381" spans="1:8" ht="14.25" x14ac:dyDescent="0.3">
      <c r="A381" s="301"/>
      <c r="B381" s="309"/>
      <c r="C381" s="301"/>
      <c r="D381" s="302"/>
      <c r="E381" s="447"/>
      <c r="F381" s="447"/>
      <c r="G381" s="13"/>
      <c r="H381" s="13"/>
    </row>
    <row r="382" spans="1:8" ht="14.25" x14ac:dyDescent="0.3">
      <c r="A382" s="301"/>
      <c r="B382" s="309"/>
      <c r="C382" s="301"/>
      <c r="D382" s="302"/>
      <c r="E382" s="447"/>
      <c r="F382" s="447"/>
      <c r="G382" s="13"/>
      <c r="H382" s="13"/>
    </row>
    <row r="383" spans="1:8" ht="13.5" x14ac:dyDescent="0.25">
      <c r="A383" s="299"/>
      <c r="B383" s="299"/>
      <c r="C383" s="299"/>
      <c r="D383" s="300"/>
      <c r="E383" s="448"/>
      <c r="F383" s="448"/>
      <c r="G383" s="13"/>
      <c r="H383" s="13"/>
    </row>
    <row r="384" spans="1:8" ht="14.25" x14ac:dyDescent="0.3">
      <c r="A384" s="301"/>
      <c r="B384" s="309"/>
      <c r="C384" s="301"/>
      <c r="D384" s="302"/>
      <c r="E384" s="447"/>
      <c r="F384" s="447"/>
      <c r="G384" s="13"/>
      <c r="H384" s="13"/>
    </row>
    <row r="385" spans="1:8" ht="14.25" x14ac:dyDescent="0.3">
      <c r="A385" s="301"/>
      <c r="B385" s="309"/>
      <c r="C385" s="301"/>
      <c r="D385" s="302"/>
      <c r="E385" s="447"/>
      <c r="F385" s="447"/>
      <c r="G385" s="13"/>
      <c r="H385" s="13"/>
    </row>
    <row r="386" spans="1:8" ht="14.25" x14ac:dyDescent="0.3">
      <c r="A386" s="301"/>
      <c r="B386" s="309"/>
      <c r="C386" s="301"/>
      <c r="D386" s="302"/>
      <c r="E386" s="447"/>
      <c r="F386" s="447"/>
      <c r="G386" s="13"/>
      <c r="H386" s="13"/>
    </row>
    <row r="387" spans="1:8" ht="14.25" x14ac:dyDescent="0.3">
      <c r="A387" s="301"/>
      <c r="B387" s="309"/>
      <c r="C387" s="301"/>
      <c r="D387" s="302"/>
      <c r="E387" s="447"/>
      <c r="F387" s="447"/>
      <c r="G387" s="13"/>
      <c r="H387" s="13"/>
    </row>
    <row r="388" spans="1:8" ht="13.5" x14ac:dyDescent="0.25">
      <c r="A388" s="299"/>
      <c r="B388" s="299"/>
      <c r="C388" s="299"/>
      <c r="D388" s="300"/>
      <c r="E388" s="448"/>
      <c r="F388" s="448"/>
      <c r="G388" s="13"/>
      <c r="H388" s="13"/>
    </row>
    <row r="389" spans="1:8" ht="14.25" x14ac:dyDescent="0.3">
      <c r="A389" s="301"/>
      <c r="B389" s="309"/>
      <c r="C389" s="301"/>
      <c r="D389" s="302"/>
      <c r="E389" s="447"/>
      <c r="F389" s="447"/>
      <c r="G389" s="13"/>
      <c r="H389" s="13"/>
    </row>
    <row r="390" spans="1:8" ht="14.25" x14ac:dyDescent="0.3">
      <c r="A390" s="301"/>
      <c r="B390" s="309"/>
      <c r="C390" s="301"/>
      <c r="D390" s="302"/>
      <c r="E390" s="447"/>
      <c r="F390" s="447"/>
      <c r="G390" s="13"/>
      <c r="H390" s="13"/>
    </row>
    <row r="391" spans="1:8" ht="14.25" x14ac:dyDescent="0.3">
      <c r="A391" s="301"/>
      <c r="B391" s="309"/>
      <c r="C391" s="301"/>
      <c r="D391" s="302"/>
      <c r="E391" s="447"/>
      <c r="F391" s="447"/>
      <c r="G391" s="13"/>
      <c r="H391" s="13"/>
    </row>
    <row r="392" spans="1:8" ht="14.25" x14ac:dyDescent="0.3">
      <c r="A392" s="301"/>
      <c r="B392" s="309"/>
      <c r="C392" s="301"/>
      <c r="D392" s="302"/>
      <c r="E392" s="447"/>
      <c r="F392" s="447"/>
      <c r="G392" s="13"/>
      <c r="H392" s="13"/>
    </row>
    <row r="393" spans="1:8" ht="13.5" x14ac:dyDescent="0.25">
      <c r="A393" s="299"/>
      <c r="B393" s="299"/>
      <c r="C393" s="299"/>
      <c r="D393" s="300"/>
      <c r="E393" s="448"/>
      <c r="F393" s="448"/>
      <c r="G393" s="13"/>
      <c r="H393" s="13"/>
    </row>
    <row r="394" spans="1:8" ht="14.25" x14ac:dyDescent="0.3">
      <c r="A394" s="301"/>
      <c r="B394" s="309"/>
      <c r="C394" s="301"/>
      <c r="D394" s="302"/>
      <c r="E394" s="447"/>
      <c r="F394" s="447"/>
      <c r="G394" s="13"/>
      <c r="H394" s="13"/>
    </row>
    <row r="395" spans="1:8" ht="14.25" x14ac:dyDescent="0.3">
      <c r="A395" s="301"/>
      <c r="B395" s="309"/>
      <c r="C395" s="301"/>
      <c r="D395" s="302"/>
      <c r="E395" s="447"/>
      <c r="F395" s="447"/>
      <c r="G395" s="13"/>
      <c r="H395" s="13"/>
    </row>
    <row r="396" spans="1:8" ht="14.25" x14ac:dyDescent="0.3">
      <c r="A396" s="301"/>
      <c r="B396" s="309"/>
      <c r="C396" s="301"/>
      <c r="D396" s="302"/>
      <c r="E396" s="447"/>
      <c r="F396" s="447"/>
      <c r="G396" s="13"/>
      <c r="H396" s="13"/>
    </row>
    <row r="397" spans="1:8" ht="14.25" x14ac:dyDescent="0.3">
      <c r="A397" s="301"/>
      <c r="B397" s="309"/>
      <c r="C397" s="301"/>
      <c r="D397" s="302"/>
      <c r="E397" s="447"/>
      <c r="F397" s="447"/>
      <c r="G397" s="13"/>
      <c r="H397" s="13"/>
    </row>
    <row r="398" spans="1:8" ht="13.5" x14ac:dyDescent="0.25">
      <c r="A398" s="299"/>
      <c r="B398" s="299"/>
      <c r="C398" s="299"/>
      <c r="D398" s="300"/>
      <c r="E398" s="448"/>
      <c r="F398" s="448"/>
      <c r="G398" s="13"/>
      <c r="H398" s="13"/>
    </row>
    <row r="399" spans="1:8" ht="14.25" x14ac:dyDescent="0.3">
      <c r="A399" s="301"/>
      <c r="B399" s="309"/>
      <c r="C399" s="301"/>
      <c r="D399" s="302"/>
      <c r="E399" s="447"/>
      <c r="F399" s="447"/>
      <c r="G399" s="13"/>
      <c r="H399" s="13"/>
    </row>
    <row r="400" spans="1:8" ht="14.25" x14ac:dyDescent="0.3">
      <c r="A400" s="301"/>
      <c r="B400" s="309"/>
      <c r="C400" s="301"/>
      <c r="D400" s="302"/>
      <c r="E400" s="447"/>
      <c r="F400" s="447"/>
      <c r="G400" s="13"/>
      <c r="H400" s="13"/>
    </row>
    <row r="401" spans="1:8" ht="14.25" x14ac:dyDescent="0.3">
      <c r="A401" s="301"/>
      <c r="B401" s="309"/>
      <c r="C401" s="301"/>
      <c r="D401" s="302"/>
      <c r="E401" s="447"/>
      <c r="F401" s="447"/>
      <c r="G401" s="13"/>
      <c r="H401" s="13"/>
    </row>
    <row r="402" spans="1:8" ht="14.25" x14ac:dyDescent="0.3">
      <c r="A402" s="301"/>
      <c r="B402" s="309"/>
      <c r="C402" s="301"/>
      <c r="D402" s="302"/>
      <c r="E402" s="447"/>
      <c r="F402" s="447"/>
      <c r="G402" s="13"/>
      <c r="H402" s="13"/>
    </row>
    <row r="403" spans="1:8" ht="13.5" x14ac:dyDescent="0.25">
      <c r="A403" s="299"/>
      <c r="B403" s="299"/>
      <c r="C403" s="299"/>
      <c r="D403" s="300"/>
      <c r="E403" s="448"/>
      <c r="F403" s="448"/>
      <c r="G403" s="13"/>
      <c r="H403" s="13"/>
    </row>
    <row r="404" spans="1:8" ht="14.25" x14ac:dyDescent="0.3">
      <c r="A404" s="301"/>
      <c r="B404" s="309"/>
      <c r="C404" s="301"/>
      <c r="D404" s="302"/>
      <c r="E404" s="447"/>
      <c r="F404" s="447"/>
      <c r="G404" s="13"/>
      <c r="H404" s="13"/>
    </row>
    <row r="405" spans="1:8" ht="14.25" x14ac:dyDescent="0.3">
      <c r="A405" s="301"/>
      <c r="B405" s="309"/>
      <c r="C405" s="301"/>
      <c r="D405" s="302"/>
      <c r="E405" s="447"/>
      <c r="F405" s="447"/>
      <c r="G405" s="13"/>
      <c r="H405" s="13"/>
    </row>
    <row r="406" spans="1:8" ht="14.25" x14ac:dyDescent="0.3">
      <c r="A406" s="301"/>
      <c r="B406" s="309"/>
      <c r="C406" s="301"/>
      <c r="D406" s="302"/>
      <c r="E406" s="447"/>
      <c r="F406" s="447"/>
      <c r="G406" s="13"/>
      <c r="H406" s="13"/>
    </row>
    <row r="407" spans="1:8" ht="14.25" x14ac:dyDescent="0.3">
      <c r="A407" s="301"/>
      <c r="B407" s="309"/>
      <c r="C407" s="301"/>
      <c r="D407" s="302"/>
      <c r="E407" s="447"/>
      <c r="F407" s="447"/>
      <c r="G407" s="13"/>
      <c r="H407" s="13"/>
    </row>
    <row r="408" spans="1:8" ht="13.5" x14ac:dyDescent="0.25">
      <c r="A408" s="299"/>
      <c r="B408" s="299"/>
      <c r="C408" s="299"/>
      <c r="D408" s="300"/>
      <c r="E408" s="448"/>
      <c r="F408" s="448"/>
      <c r="G408" s="13"/>
      <c r="H408" s="13"/>
    </row>
    <row r="409" spans="1:8" ht="14.25" x14ac:dyDescent="0.3">
      <c r="A409" s="301"/>
      <c r="B409" s="309"/>
      <c r="C409" s="301"/>
      <c r="D409" s="302"/>
      <c r="E409" s="447"/>
      <c r="F409" s="447"/>
      <c r="G409" s="13"/>
      <c r="H409" s="13"/>
    </row>
    <row r="410" spans="1:8" ht="14.25" x14ac:dyDescent="0.3">
      <c r="A410" s="301"/>
      <c r="B410" s="309"/>
      <c r="C410" s="301"/>
      <c r="D410" s="302"/>
      <c r="E410" s="447"/>
      <c r="F410" s="447"/>
      <c r="G410" s="13"/>
      <c r="H410" s="13"/>
    </row>
    <row r="411" spans="1:8" ht="14.25" x14ac:dyDescent="0.3">
      <c r="A411" s="301"/>
      <c r="B411" s="309"/>
      <c r="C411" s="301"/>
      <c r="D411" s="302"/>
      <c r="E411" s="447"/>
      <c r="F411" s="447"/>
      <c r="G411" s="13"/>
      <c r="H411" s="13"/>
    </row>
    <row r="412" spans="1:8" ht="14.25" x14ac:dyDescent="0.3">
      <c r="A412" s="301"/>
      <c r="B412" s="309"/>
      <c r="C412" s="301"/>
      <c r="D412" s="302"/>
      <c r="E412" s="447"/>
      <c r="F412" s="447"/>
      <c r="G412" s="13"/>
      <c r="H412" s="13"/>
    </row>
    <row r="413" spans="1:8" ht="13.5" x14ac:dyDescent="0.25">
      <c r="A413" s="299"/>
      <c r="B413" s="299"/>
      <c r="C413" s="299"/>
      <c r="D413" s="300"/>
      <c r="E413" s="448"/>
      <c r="F413" s="448"/>
      <c r="G413" s="13"/>
      <c r="H413" s="13"/>
    </row>
    <row r="414" spans="1:8" ht="14.25" x14ac:dyDescent="0.3">
      <c r="A414" s="301"/>
      <c r="B414" s="309"/>
      <c r="C414" s="301"/>
      <c r="D414" s="302"/>
      <c r="E414" s="447"/>
      <c r="F414" s="447"/>
      <c r="G414" s="13"/>
      <c r="H414" s="13"/>
    </row>
    <row r="415" spans="1:8" ht="14.25" x14ac:dyDescent="0.3">
      <c r="A415" s="301"/>
      <c r="B415" s="309"/>
      <c r="C415" s="301"/>
      <c r="D415" s="302"/>
      <c r="E415" s="447"/>
      <c r="F415" s="447"/>
      <c r="G415" s="13"/>
      <c r="H415" s="13"/>
    </row>
    <row r="416" spans="1:8" ht="14.25" x14ac:dyDescent="0.3">
      <c r="A416" s="301"/>
      <c r="B416" s="309"/>
      <c r="C416" s="301"/>
      <c r="D416" s="302"/>
      <c r="E416" s="447"/>
      <c r="F416" s="447"/>
      <c r="G416" s="13"/>
      <c r="H416" s="13"/>
    </row>
    <row r="417" spans="1:8" ht="14.25" x14ac:dyDescent="0.3">
      <c r="A417" s="301"/>
      <c r="B417" s="309"/>
      <c r="C417" s="301"/>
      <c r="D417" s="302"/>
      <c r="E417" s="447"/>
      <c r="F417" s="447"/>
      <c r="G417" s="13"/>
      <c r="H417" s="13"/>
    </row>
    <row r="418" spans="1:8" ht="13.5" x14ac:dyDescent="0.25">
      <c r="A418" s="299"/>
      <c r="B418" s="299"/>
      <c r="C418" s="299"/>
      <c r="D418" s="300"/>
      <c r="E418" s="448"/>
      <c r="F418" s="448"/>
      <c r="G418" s="13"/>
      <c r="H418" s="13"/>
    </row>
    <row r="419" spans="1:8" ht="14.25" x14ac:dyDescent="0.3">
      <c r="A419" s="301"/>
      <c r="B419" s="309"/>
      <c r="C419" s="301"/>
      <c r="D419" s="302"/>
      <c r="E419" s="447"/>
      <c r="F419" s="447"/>
      <c r="G419" s="13"/>
      <c r="H419" s="13"/>
    </row>
    <row r="420" spans="1:8" ht="14.25" x14ac:dyDescent="0.3">
      <c r="A420" s="301"/>
      <c r="B420" s="309"/>
      <c r="C420" s="301"/>
      <c r="D420" s="302"/>
      <c r="E420" s="447"/>
      <c r="F420" s="447"/>
      <c r="G420" s="13"/>
      <c r="H420" s="13"/>
    </row>
    <row r="421" spans="1:8" ht="14.25" x14ac:dyDescent="0.3">
      <c r="A421" s="301"/>
      <c r="B421" s="309"/>
      <c r="C421" s="301"/>
      <c r="D421" s="302"/>
      <c r="E421" s="447"/>
      <c r="F421" s="447"/>
      <c r="G421" s="13"/>
      <c r="H421" s="13"/>
    </row>
    <row r="422" spans="1:8" ht="14.25" x14ac:dyDescent="0.3">
      <c r="A422" s="301"/>
      <c r="B422" s="309"/>
      <c r="C422" s="301"/>
      <c r="D422" s="302"/>
      <c r="E422" s="447"/>
      <c r="F422" s="447"/>
      <c r="G422" s="13"/>
      <c r="H422" s="13"/>
    </row>
    <row r="423" spans="1:8" ht="13.5" x14ac:dyDescent="0.25">
      <c r="A423" s="299"/>
      <c r="B423" s="299"/>
      <c r="C423" s="299"/>
      <c r="D423" s="300"/>
      <c r="E423" s="448"/>
      <c r="F423" s="448"/>
      <c r="G423" s="13"/>
      <c r="H423" s="13"/>
    </row>
    <row r="424" spans="1:8" ht="14.25" x14ac:dyDescent="0.3">
      <c r="A424" s="301"/>
      <c r="B424" s="309"/>
      <c r="C424" s="301"/>
      <c r="D424" s="302"/>
      <c r="E424" s="447"/>
      <c r="F424" s="447"/>
      <c r="G424" s="13"/>
      <c r="H424" s="13"/>
    </row>
    <row r="425" spans="1:8" ht="14.25" x14ac:dyDescent="0.3">
      <c r="A425" s="301"/>
      <c r="B425" s="309"/>
      <c r="C425" s="301"/>
      <c r="D425" s="302"/>
      <c r="E425" s="447"/>
      <c r="F425" s="447"/>
      <c r="G425" s="13"/>
      <c r="H425" s="13"/>
    </row>
    <row r="426" spans="1:8" ht="14.25" x14ac:dyDescent="0.3">
      <c r="A426" s="301"/>
      <c r="B426" s="309"/>
      <c r="C426" s="301"/>
      <c r="D426" s="302"/>
      <c r="E426" s="447"/>
      <c r="F426" s="447"/>
      <c r="G426" s="13"/>
      <c r="H426" s="13"/>
    </row>
    <row r="427" spans="1:8" ht="14.25" x14ac:dyDescent="0.3">
      <c r="A427" s="301"/>
      <c r="B427" s="309"/>
      <c r="C427" s="301"/>
      <c r="D427" s="302"/>
      <c r="E427" s="447"/>
      <c r="F427" s="447"/>
      <c r="G427" s="13"/>
      <c r="H427" s="13"/>
    </row>
    <row r="428" spans="1:8" ht="13.5" x14ac:dyDescent="0.25">
      <c r="A428" s="299"/>
      <c r="B428" s="299"/>
      <c r="C428" s="299"/>
      <c r="D428" s="300"/>
      <c r="E428" s="448"/>
      <c r="F428" s="448"/>
      <c r="G428" s="13"/>
      <c r="H428" s="13"/>
    </row>
    <row r="429" spans="1:8" ht="14.25" x14ac:dyDescent="0.3">
      <c r="A429" s="301"/>
      <c r="B429" s="309"/>
      <c r="C429" s="301"/>
      <c r="D429" s="302"/>
      <c r="E429" s="447"/>
      <c r="F429" s="447"/>
      <c r="G429" s="13"/>
      <c r="H429" s="13"/>
    </row>
    <row r="430" spans="1:8" ht="14.25" x14ac:dyDescent="0.3">
      <c r="A430" s="301"/>
      <c r="B430" s="309"/>
      <c r="C430" s="301"/>
      <c r="D430" s="302"/>
      <c r="E430" s="447"/>
      <c r="F430" s="447"/>
      <c r="G430" s="13"/>
      <c r="H430" s="13"/>
    </row>
    <row r="431" spans="1:8" ht="14.25" x14ac:dyDescent="0.3">
      <c r="A431" s="301"/>
      <c r="B431" s="309"/>
      <c r="C431" s="301"/>
      <c r="D431" s="302"/>
      <c r="E431" s="447"/>
      <c r="F431" s="447"/>
      <c r="G431" s="13"/>
      <c r="H431" s="13"/>
    </row>
    <row r="432" spans="1:8" ht="14.25" x14ac:dyDescent="0.3">
      <c r="A432" s="301"/>
      <c r="B432" s="309"/>
      <c r="C432" s="301"/>
      <c r="D432" s="302"/>
      <c r="E432" s="447"/>
      <c r="F432" s="447"/>
      <c r="G432" s="13"/>
      <c r="H432" s="13"/>
    </row>
    <row r="433" spans="1:8" ht="13.5" x14ac:dyDescent="0.25">
      <c r="A433" s="299"/>
      <c r="B433" s="299"/>
      <c r="C433" s="299"/>
      <c r="D433" s="300"/>
      <c r="E433" s="448"/>
      <c r="F433" s="448"/>
      <c r="G433" s="13"/>
      <c r="H433" s="13"/>
    </row>
    <row r="434" spans="1:8" ht="14.25" x14ac:dyDescent="0.3">
      <c r="A434" s="301"/>
      <c r="B434" s="309"/>
      <c r="C434" s="301"/>
      <c r="D434" s="302"/>
      <c r="E434" s="447"/>
      <c r="F434" s="447"/>
      <c r="G434" s="13"/>
      <c r="H434" s="13"/>
    </row>
    <row r="435" spans="1:8" ht="14.25" x14ac:dyDescent="0.3">
      <c r="A435" s="301"/>
      <c r="B435" s="309"/>
      <c r="C435" s="301"/>
      <c r="D435" s="302"/>
      <c r="E435" s="447"/>
      <c r="F435" s="447"/>
      <c r="G435" s="13"/>
      <c r="H435" s="13"/>
    </row>
    <row r="436" spans="1:8" ht="14.25" x14ac:dyDescent="0.3">
      <c r="A436" s="301"/>
      <c r="B436" s="309"/>
      <c r="C436" s="301"/>
      <c r="D436" s="302"/>
      <c r="E436" s="447"/>
      <c r="F436" s="447"/>
      <c r="G436" s="13"/>
      <c r="H436" s="13"/>
    </row>
    <row r="437" spans="1:8" ht="14.25" x14ac:dyDescent="0.3">
      <c r="A437" s="301"/>
      <c r="B437" s="309"/>
      <c r="C437" s="301"/>
      <c r="D437" s="302"/>
      <c r="E437" s="447"/>
      <c r="F437" s="447"/>
      <c r="G437" s="13"/>
      <c r="H437" s="13"/>
    </row>
    <row r="438" spans="1:8" ht="13.5" x14ac:dyDescent="0.25">
      <c r="A438" s="299"/>
      <c r="B438" s="299"/>
      <c r="C438" s="299"/>
      <c r="D438" s="300"/>
      <c r="E438" s="448"/>
      <c r="F438" s="448"/>
      <c r="G438" s="13"/>
      <c r="H438" s="13"/>
    </row>
    <row r="439" spans="1:8" ht="14.25" x14ac:dyDescent="0.3">
      <c r="A439" s="301"/>
      <c r="B439" s="309"/>
      <c r="C439" s="301"/>
      <c r="D439" s="302"/>
      <c r="E439" s="447"/>
      <c r="F439" s="447"/>
      <c r="G439" s="13"/>
      <c r="H439" s="13"/>
    </row>
    <row r="440" spans="1:8" ht="14.25" x14ac:dyDescent="0.3">
      <c r="A440" s="301"/>
      <c r="B440" s="309"/>
      <c r="C440" s="301"/>
      <c r="D440" s="302"/>
      <c r="E440" s="447"/>
      <c r="F440" s="447"/>
      <c r="G440" s="13"/>
      <c r="H440" s="13"/>
    </row>
    <row r="441" spans="1:8" ht="14.25" x14ac:dyDescent="0.3">
      <c r="A441" s="301"/>
      <c r="B441" s="309"/>
      <c r="C441" s="301"/>
      <c r="D441" s="302"/>
      <c r="E441" s="447"/>
      <c r="F441" s="447"/>
      <c r="G441" s="13"/>
      <c r="H441" s="13"/>
    </row>
    <row r="442" spans="1:8" ht="14.25" x14ac:dyDescent="0.3">
      <c r="A442" s="301"/>
      <c r="B442" s="309"/>
      <c r="C442" s="301"/>
      <c r="D442" s="302"/>
      <c r="E442" s="447"/>
      <c r="F442" s="447"/>
      <c r="G442" s="13"/>
      <c r="H442" s="13"/>
    </row>
    <row r="443" spans="1:8" ht="13.5" x14ac:dyDescent="0.25">
      <c r="A443" s="299"/>
      <c r="B443" s="299"/>
      <c r="C443" s="299"/>
      <c r="D443" s="300"/>
      <c r="E443" s="448"/>
      <c r="F443" s="448"/>
      <c r="G443" s="13"/>
      <c r="H443" s="13"/>
    </row>
    <row r="444" spans="1:8" ht="14.25" x14ac:dyDescent="0.3">
      <c r="A444" s="301"/>
      <c r="B444" s="309"/>
      <c r="C444" s="301"/>
      <c r="D444" s="302"/>
      <c r="E444" s="447"/>
      <c r="F444" s="447"/>
      <c r="G444" s="13"/>
      <c r="H444" s="13"/>
    </row>
    <row r="445" spans="1:8" ht="14.25" x14ac:dyDescent="0.3">
      <c r="A445" s="301"/>
      <c r="B445" s="309"/>
      <c r="C445" s="301"/>
      <c r="D445" s="302"/>
      <c r="E445" s="447"/>
      <c r="F445" s="447"/>
      <c r="G445" s="13"/>
      <c r="H445" s="13"/>
    </row>
    <row r="446" spans="1:8" ht="14.25" x14ac:dyDescent="0.3">
      <c r="A446" s="301"/>
      <c r="B446" s="309"/>
      <c r="C446" s="301"/>
      <c r="D446" s="302"/>
      <c r="E446" s="447"/>
      <c r="F446" s="447"/>
      <c r="G446" s="13"/>
      <c r="H446" s="13"/>
    </row>
    <row r="447" spans="1:8" ht="14.25" x14ac:dyDescent="0.3">
      <c r="A447" s="301"/>
      <c r="B447" s="309"/>
      <c r="C447" s="301"/>
      <c r="D447" s="302"/>
      <c r="E447" s="447"/>
      <c r="F447" s="447"/>
      <c r="G447" s="13"/>
      <c r="H447" s="13"/>
    </row>
    <row r="448" spans="1:8" ht="13.5" x14ac:dyDescent="0.25">
      <c r="A448" s="299"/>
      <c r="B448" s="299"/>
      <c r="C448" s="299"/>
      <c r="D448" s="300"/>
      <c r="E448" s="448"/>
      <c r="F448" s="448"/>
      <c r="G448" s="13"/>
      <c r="H448" s="13"/>
    </row>
    <row r="449" spans="1:8" ht="14.25" x14ac:dyDescent="0.3">
      <c r="A449" s="301"/>
      <c r="B449" s="309"/>
      <c r="C449" s="301"/>
      <c r="D449" s="302"/>
      <c r="E449" s="447"/>
      <c r="F449" s="447"/>
      <c r="G449" s="13"/>
      <c r="H449" s="13"/>
    </row>
    <row r="450" spans="1:8" ht="14.25" x14ac:dyDescent="0.3">
      <c r="A450" s="301"/>
      <c r="B450" s="309"/>
      <c r="C450" s="301"/>
      <c r="D450" s="302"/>
      <c r="E450" s="447"/>
      <c r="F450" s="447"/>
      <c r="G450" s="13"/>
      <c r="H450" s="13"/>
    </row>
    <row r="451" spans="1:8" ht="14.25" x14ac:dyDescent="0.3">
      <c r="A451" s="301"/>
      <c r="B451" s="309"/>
      <c r="C451" s="301"/>
      <c r="D451" s="302"/>
      <c r="E451" s="447"/>
      <c r="F451" s="447"/>
      <c r="G451" s="13"/>
      <c r="H451" s="13"/>
    </row>
    <row r="452" spans="1:8" ht="14.25" x14ac:dyDescent="0.3">
      <c r="A452" s="301"/>
      <c r="B452" s="309"/>
      <c r="C452" s="301"/>
      <c r="D452" s="302"/>
      <c r="E452" s="447"/>
      <c r="F452" s="447"/>
      <c r="G452" s="13"/>
      <c r="H452" s="13"/>
    </row>
    <row r="453" spans="1:8" ht="13.5" x14ac:dyDescent="0.25">
      <c r="A453" s="299"/>
      <c r="B453" s="299"/>
      <c r="C453" s="299"/>
      <c r="D453" s="300"/>
      <c r="E453" s="448"/>
      <c r="F453" s="448"/>
      <c r="G453" s="13"/>
      <c r="H453" s="13"/>
    </row>
    <row r="454" spans="1:8" ht="14.25" x14ac:dyDescent="0.3">
      <c r="A454" s="301"/>
      <c r="B454" s="309"/>
      <c r="C454" s="301"/>
      <c r="D454" s="302"/>
      <c r="E454" s="447"/>
      <c r="F454" s="447"/>
      <c r="G454" s="13"/>
      <c r="H454" s="13"/>
    </row>
    <row r="455" spans="1:8" ht="14.25" x14ac:dyDescent="0.3">
      <c r="A455" s="301"/>
      <c r="B455" s="309"/>
      <c r="C455" s="301"/>
      <c r="D455" s="302"/>
      <c r="E455" s="447"/>
      <c r="F455" s="447"/>
      <c r="G455" s="13"/>
      <c r="H455" s="13"/>
    </row>
    <row r="456" spans="1:8" ht="14.25" x14ac:dyDescent="0.3">
      <c r="A456" s="301"/>
      <c r="B456" s="309"/>
      <c r="C456" s="301"/>
      <c r="D456" s="302"/>
      <c r="E456" s="447"/>
      <c r="F456" s="447"/>
      <c r="G456" s="13"/>
      <c r="H456" s="13"/>
    </row>
    <row r="457" spans="1:8" ht="14.25" x14ac:dyDescent="0.3">
      <c r="A457" s="301"/>
      <c r="B457" s="309"/>
      <c r="C457" s="301"/>
      <c r="D457" s="302"/>
      <c r="E457" s="447"/>
      <c r="F457" s="447"/>
      <c r="G457" s="13"/>
      <c r="H457" s="13"/>
    </row>
    <row r="458" spans="1:8" ht="13.5" x14ac:dyDescent="0.25">
      <c r="A458" s="299"/>
      <c r="B458" s="299"/>
      <c r="C458" s="299"/>
      <c r="D458" s="300"/>
      <c r="E458" s="448"/>
      <c r="F458" s="448"/>
      <c r="G458" s="13"/>
      <c r="H458" s="13"/>
    </row>
    <row r="459" spans="1:8" ht="14.25" x14ac:dyDescent="0.3">
      <c r="A459" s="301"/>
      <c r="B459" s="309"/>
      <c r="C459" s="301"/>
      <c r="D459" s="302"/>
      <c r="E459" s="447"/>
      <c r="F459" s="447"/>
      <c r="G459" s="13"/>
      <c r="H459" s="13"/>
    </row>
    <row r="460" spans="1:8" ht="14.25" x14ac:dyDescent="0.3">
      <c r="A460" s="301"/>
      <c r="B460" s="309"/>
      <c r="C460" s="301"/>
      <c r="D460" s="302"/>
      <c r="E460" s="447"/>
      <c r="F460" s="447"/>
      <c r="G460" s="13"/>
      <c r="H460" s="13"/>
    </row>
    <row r="461" spans="1:8" ht="14.25" x14ac:dyDescent="0.3">
      <c r="A461" s="301"/>
      <c r="B461" s="309"/>
      <c r="C461" s="301"/>
      <c r="D461" s="302"/>
      <c r="E461" s="447"/>
      <c r="F461" s="447"/>
      <c r="G461" s="13"/>
      <c r="H461" s="13"/>
    </row>
    <row r="462" spans="1:8" ht="14.25" x14ac:dyDescent="0.3">
      <c r="A462" s="301"/>
      <c r="B462" s="309"/>
      <c r="C462" s="301"/>
      <c r="D462" s="302"/>
      <c r="E462" s="447"/>
      <c r="F462" s="447"/>
      <c r="G462" s="13"/>
      <c r="H462" s="13"/>
    </row>
    <row r="463" spans="1:8" ht="13.5" x14ac:dyDescent="0.25">
      <c r="A463" s="299"/>
      <c r="B463" s="299"/>
      <c r="C463" s="299"/>
      <c r="D463" s="300"/>
      <c r="E463" s="448"/>
      <c r="F463" s="448"/>
      <c r="G463" s="13"/>
      <c r="H463" s="13"/>
    </row>
    <row r="464" spans="1:8" ht="14.25" x14ac:dyDescent="0.3">
      <c r="A464" s="301"/>
      <c r="B464" s="309"/>
      <c r="C464" s="301"/>
      <c r="D464" s="302"/>
      <c r="E464" s="447"/>
      <c r="F464" s="447"/>
      <c r="G464" s="13"/>
      <c r="H464" s="13"/>
    </row>
    <row r="465" spans="1:8" ht="14.25" x14ac:dyDescent="0.3">
      <c r="A465" s="301"/>
      <c r="B465" s="309"/>
      <c r="C465" s="301"/>
      <c r="D465" s="302"/>
      <c r="E465" s="447"/>
      <c r="F465" s="447"/>
      <c r="G465" s="13"/>
      <c r="H465" s="13"/>
    </row>
    <row r="466" spans="1:8" ht="14.25" x14ac:dyDescent="0.3">
      <c r="A466" s="301"/>
      <c r="B466" s="309"/>
      <c r="C466" s="301"/>
      <c r="D466" s="302"/>
      <c r="E466" s="447"/>
      <c r="F466" s="447"/>
      <c r="G466" s="13"/>
      <c r="H466" s="13"/>
    </row>
    <row r="467" spans="1:8" ht="14.25" x14ac:dyDescent="0.3">
      <c r="A467" s="301"/>
      <c r="B467" s="309"/>
      <c r="C467" s="301"/>
      <c r="D467" s="302"/>
      <c r="E467" s="447"/>
      <c r="F467" s="447"/>
      <c r="G467" s="13"/>
      <c r="H467" s="13"/>
    </row>
    <row r="468" spans="1:8" ht="13.5" x14ac:dyDescent="0.25">
      <c r="A468" s="299"/>
      <c r="B468" s="299"/>
      <c r="C468" s="299"/>
      <c r="D468" s="300"/>
      <c r="E468" s="448"/>
      <c r="F468" s="448"/>
      <c r="G468" s="13"/>
      <c r="H468" s="13"/>
    </row>
    <row r="469" spans="1:8" ht="14.25" x14ac:dyDescent="0.3">
      <c r="A469" s="301"/>
      <c r="B469" s="309"/>
      <c r="C469" s="301"/>
      <c r="D469" s="302"/>
      <c r="E469" s="447"/>
      <c r="F469" s="447"/>
      <c r="G469" s="13"/>
      <c r="H469" s="13"/>
    </row>
    <row r="470" spans="1:8" ht="14.25" x14ac:dyDescent="0.3">
      <c r="A470" s="301"/>
      <c r="B470" s="309"/>
      <c r="C470" s="301"/>
      <c r="D470" s="302"/>
      <c r="E470" s="447"/>
      <c r="F470" s="447"/>
      <c r="G470" s="13"/>
      <c r="H470" s="13"/>
    </row>
    <row r="471" spans="1:8" ht="14.25" x14ac:dyDescent="0.3">
      <c r="A471" s="301"/>
      <c r="B471" s="309"/>
      <c r="C471" s="301"/>
      <c r="D471" s="302"/>
      <c r="E471" s="447"/>
      <c r="F471" s="447"/>
      <c r="G471" s="13"/>
      <c r="H471" s="13"/>
    </row>
    <row r="472" spans="1:8" ht="14.25" x14ac:dyDescent="0.3">
      <c r="A472" s="301"/>
      <c r="B472" s="309"/>
      <c r="C472" s="301"/>
      <c r="D472" s="302"/>
      <c r="E472" s="447"/>
      <c r="F472" s="447"/>
      <c r="G472" s="13"/>
      <c r="H472" s="13"/>
    </row>
    <row r="473" spans="1:8" ht="13.5" x14ac:dyDescent="0.25">
      <c r="A473" s="299"/>
      <c r="B473" s="299"/>
      <c r="C473" s="299"/>
      <c r="D473" s="300"/>
      <c r="E473" s="448"/>
      <c r="F473" s="448"/>
      <c r="G473" s="13"/>
      <c r="H473" s="13"/>
    </row>
    <row r="474" spans="1:8" ht="14.25" x14ac:dyDescent="0.3">
      <c r="A474" s="301"/>
      <c r="B474" s="309"/>
      <c r="C474" s="301"/>
      <c r="D474" s="302"/>
      <c r="E474" s="447"/>
      <c r="F474" s="447"/>
      <c r="G474" s="13"/>
      <c r="H474" s="13"/>
    </row>
    <row r="475" spans="1:8" ht="14.25" x14ac:dyDescent="0.3">
      <c r="A475" s="301"/>
      <c r="B475" s="309"/>
      <c r="C475" s="301"/>
      <c r="D475" s="302"/>
      <c r="E475" s="447"/>
      <c r="F475" s="447"/>
      <c r="G475" s="13"/>
      <c r="H475" s="13"/>
    </row>
    <row r="476" spans="1:8" ht="14.25" x14ac:dyDescent="0.3">
      <c r="A476" s="301"/>
      <c r="B476" s="309"/>
      <c r="C476" s="301"/>
      <c r="D476" s="302"/>
      <c r="E476" s="447"/>
      <c r="F476" s="447"/>
      <c r="G476" s="13"/>
      <c r="H476" s="13"/>
    </row>
    <row r="477" spans="1:8" ht="14.25" x14ac:dyDescent="0.3">
      <c r="A477" s="301"/>
      <c r="B477" s="309"/>
      <c r="C477" s="301"/>
      <c r="D477" s="302"/>
      <c r="E477" s="447"/>
      <c r="F477" s="447"/>
      <c r="G477" s="13"/>
      <c r="H477" s="13"/>
    </row>
    <row r="478" spans="1:8" ht="13.5" x14ac:dyDescent="0.25">
      <c r="A478" s="299"/>
      <c r="B478" s="299"/>
      <c r="C478" s="299"/>
      <c r="D478" s="300"/>
      <c r="E478" s="448"/>
      <c r="F478" s="448"/>
      <c r="G478" s="13"/>
      <c r="H478" s="13"/>
    </row>
    <row r="479" spans="1:8" ht="14.25" x14ac:dyDescent="0.3">
      <c r="A479" s="301"/>
      <c r="B479" s="309"/>
      <c r="C479" s="301"/>
      <c r="D479" s="302"/>
      <c r="E479" s="447"/>
      <c r="F479" s="447"/>
      <c r="G479" s="13"/>
      <c r="H479" s="13"/>
    </row>
    <row r="480" spans="1:8" ht="14.25" x14ac:dyDescent="0.3">
      <c r="A480" s="301"/>
      <c r="B480" s="309"/>
      <c r="C480" s="301"/>
      <c r="D480" s="302"/>
      <c r="E480" s="447"/>
      <c r="F480" s="447"/>
      <c r="G480" s="13"/>
      <c r="H480" s="13"/>
    </row>
    <row r="481" spans="1:8" ht="14.25" x14ac:dyDescent="0.3">
      <c r="A481" s="301"/>
      <c r="B481" s="309"/>
      <c r="C481" s="301"/>
      <c r="D481" s="302"/>
      <c r="E481" s="447"/>
      <c r="F481" s="447"/>
      <c r="G481" s="13"/>
      <c r="H481" s="13"/>
    </row>
    <row r="482" spans="1:8" ht="14.25" x14ac:dyDescent="0.3">
      <c r="A482" s="301"/>
      <c r="B482" s="309"/>
      <c r="C482" s="301"/>
      <c r="D482" s="302"/>
      <c r="E482" s="447"/>
      <c r="F482" s="447"/>
      <c r="G482" s="13"/>
      <c r="H482" s="13"/>
    </row>
    <row r="483" spans="1:8" ht="13.5" x14ac:dyDescent="0.25">
      <c r="A483" s="299"/>
      <c r="B483" s="299"/>
      <c r="C483" s="299"/>
      <c r="D483" s="300"/>
      <c r="E483" s="448"/>
      <c r="F483" s="448"/>
      <c r="G483" s="13"/>
      <c r="H483" s="13"/>
    </row>
    <row r="484" spans="1:8" ht="14.25" x14ac:dyDescent="0.3">
      <c r="A484" s="301"/>
      <c r="B484" s="309"/>
      <c r="C484" s="301"/>
      <c r="D484" s="302"/>
      <c r="E484" s="447"/>
      <c r="F484" s="447"/>
      <c r="G484" s="13"/>
      <c r="H484" s="13"/>
    </row>
    <row r="485" spans="1:8" ht="14.25" x14ac:dyDescent="0.3">
      <c r="A485" s="301"/>
      <c r="B485" s="309"/>
      <c r="C485" s="301"/>
      <c r="D485" s="302"/>
      <c r="E485" s="447"/>
      <c r="F485" s="447"/>
      <c r="G485" s="13"/>
      <c r="H485" s="13"/>
    </row>
    <row r="486" spans="1:8" ht="14.25" x14ac:dyDescent="0.3">
      <c r="A486" s="301"/>
      <c r="B486" s="309"/>
      <c r="C486" s="301"/>
      <c r="D486" s="302"/>
      <c r="E486" s="447"/>
      <c r="F486" s="447"/>
      <c r="G486" s="13"/>
      <c r="H486" s="13"/>
    </row>
    <row r="487" spans="1:8" ht="14.25" x14ac:dyDescent="0.3">
      <c r="A487" s="301"/>
      <c r="B487" s="309"/>
      <c r="C487" s="301"/>
      <c r="D487" s="302"/>
      <c r="E487" s="447"/>
      <c r="F487" s="447"/>
      <c r="G487" s="13"/>
      <c r="H487" s="13"/>
    </row>
    <row r="488" spans="1:8" ht="13.5" x14ac:dyDescent="0.25">
      <c r="A488" s="299"/>
      <c r="B488" s="299"/>
      <c r="C488" s="299"/>
      <c r="D488" s="300"/>
      <c r="E488" s="448"/>
      <c r="F488" s="448"/>
      <c r="G488" s="13"/>
      <c r="H488" s="13"/>
    </row>
    <row r="489" spans="1:8" ht="14.25" x14ac:dyDescent="0.3">
      <c r="A489" s="301"/>
      <c r="B489" s="309"/>
      <c r="C489" s="301"/>
      <c r="D489" s="302"/>
      <c r="E489" s="447"/>
      <c r="F489" s="447"/>
      <c r="G489" s="13"/>
      <c r="H489" s="13"/>
    </row>
    <row r="490" spans="1:8" ht="14.25" x14ac:dyDescent="0.3">
      <c r="A490" s="301"/>
      <c r="B490" s="309"/>
      <c r="C490" s="301"/>
      <c r="D490" s="302"/>
      <c r="E490" s="447"/>
      <c r="F490" s="447"/>
      <c r="G490" s="13"/>
      <c r="H490" s="13"/>
    </row>
    <row r="491" spans="1:8" ht="14.25" x14ac:dyDescent="0.3">
      <c r="A491" s="301"/>
      <c r="B491" s="309"/>
      <c r="C491" s="301"/>
      <c r="D491" s="302"/>
      <c r="E491" s="447"/>
      <c r="F491" s="447"/>
      <c r="G491" s="13"/>
      <c r="H491" s="13"/>
    </row>
    <row r="492" spans="1:8" ht="14.25" x14ac:dyDescent="0.3">
      <c r="A492" s="301"/>
      <c r="B492" s="309"/>
      <c r="C492" s="301"/>
      <c r="D492" s="302"/>
      <c r="E492" s="447"/>
      <c r="F492" s="447"/>
      <c r="G492" s="13"/>
      <c r="H492" s="13"/>
    </row>
    <row r="493" spans="1:8" ht="13.5" x14ac:dyDescent="0.25">
      <c r="A493" s="299"/>
      <c r="B493" s="299"/>
      <c r="C493" s="299"/>
      <c r="D493" s="300"/>
      <c r="E493" s="448"/>
      <c r="F493" s="448"/>
      <c r="G493" s="13"/>
      <c r="H493" s="13"/>
    </row>
    <row r="494" spans="1:8" ht="14.25" x14ac:dyDescent="0.3">
      <c r="A494" s="301"/>
      <c r="B494" s="309"/>
      <c r="C494" s="301"/>
      <c r="D494" s="302"/>
      <c r="E494" s="447"/>
      <c r="F494" s="447"/>
      <c r="G494" s="13"/>
      <c r="H494" s="13"/>
    </row>
    <row r="495" spans="1:8" ht="14.25" x14ac:dyDescent="0.3">
      <c r="A495" s="301"/>
      <c r="B495" s="309"/>
      <c r="C495" s="301"/>
      <c r="D495" s="302"/>
      <c r="E495" s="447"/>
      <c r="F495" s="447"/>
      <c r="G495" s="13"/>
      <c r="H495" s="13"/>
    </row>
    <row r="496" spans="1:8" ht="14.25" x14ac:dyDescent="0.3">
      <c r="A496" s="301"/>
      <c r="B496" s="309"/>
      <c r="C496" s="301"/>
      <c r="D496" s="302"/>
      <c r="E496" s="447"/>
      <c r="F496" s="447"/>
      <c r="G496" s="13"/>
      <c r="H496" s="13"/>
    </row>
    <row r="497" spans="1:8" ht="14.25" x14ac:dyDescent="0.3">
      <c r="A497" s="301"/>
      <c r="B497" s="309"/>
      <c r="C497" s="301"/>
      <c r="D497" s="302"/>
      <c r="E497" s="447"/>
      <c r="F497" s="447"/>
      <c r="G497" s="13"/>
      <c r="H497" s="13"/>
    </row>
    <row r="498" spans="1:8" ht="13.5" x14ac:dyDescent="0.25">
      <c r="A498" s="299"/>
      <c r="B498" s="299"/>
      <c r="C498" s="299"/>
      <c r="D498" s="300"/>
      <c r="E498" s="448"/>
      <c r="F498" s="448"/>
      <c r="G498" s="13"/>
      <c r="H498" s="13"/>
    </row>
    <row r="499" spans="1:8" ht="14.25" x14ac:dyDescent="0.3">
      <c r="A499" s="301"/>
      <c r="B499" s="309"/>
      <c r="C499" s="301"/>
      <c r="D499" s="302"/>
      <c r="E499" s="447"/>
      <c r="F499" s="447"/>
      <c r="G499" s="13"/>
      <c r="H499" s="13"/>
    </row>
    <row r="500" spans="1:8" ht="14.25" x14ac:dyDescent="0.3">
      <c r="A500" s="301"/>
      <c r="B500" s="309"/>
      <c r="C500" s="301"/>
      <c r="D500" s="302"/>
      <c r="E500" s="447"/>
      <c r="F500" s="447"/>
      <c r="G500" s="13"/>
      <c r="H500" s="13"/>
    </row>
    <row r="501" spans="1:8" ht="14.25" x14ac:dyDescent="0.3">
      <c r="A501" s="301"/>
      <c r="B501" s="309"/>
      <c r="C501" s="301"/>
      <c r="D501" s="302"/>
      <c r="E501" s="447"/>
      <c r="F501" s="447"/>
      <c r="G501" s="13"/>
      <c r="H501" s="13"/>
    </row>
    <row r="502" spans="1:8" ht="14.25" x14ac:dyDescent="0.3">
      <c r="A502" s="301"/>
      <c r="B502" s="309"/>
      <c r="C502" s="301"/>
      <c r="D502" s="302"/>
      <c r="E502" s="447"/>
      <c r="F502" s="447"/>
      <c r="G502" s="13"/>
      <c r="H502" s="13"/>
    </row>
    <row r="503" spans="1:8" ht="13.5" x14ac:dyDescent="0.25">
      <c r="A503" s="299"/>
      <c r="B503" s="299"/>
      <c r="C503" s="299"/>
      <c r="D503" s="300"/>
      <c r="E503" s="448"/>
      <c r="F503" s="448"/>
      <c r="G503" s="13"/>
      <c r="H503" s="13"/>
    </row>
    <row r="504" spans="1:8" ht="14.25" x14ac:dyDescent="0.3">
      <c r="A504" s="301"/>
      <c r="B504" s="309"/>
      <c r="C504" s="301"/>
      <c r="D504" s="302"/>
      <c r="E504" s="447"/>
      <c r="F504" s="447"/>
      <c r="G504" s="13"/>
      <c r="H504" s="13"/>
    </row>
    <row r="505" spans="1:8" ht="14.25" x14ac:dyDescent="0.3">
      <c r="A505" s="301"/>
      <c r="B505" s="309"/>
      <c r="C505" s="301"/>
      <c r="D505" s="302"/>
      <c r="E505" s="447"/>
      <c r="F505" s="447"/>
      <c r="G505" s="13"/>
      <c r="H505" s="13"/>
    </row>
    <row r="506" spans="1:8" ht="14.25" x14ac:dyDescent="0.3">
      <c r="A506" s="301"/>
      <c r="B506" s="309"/>
      <c r="C506" s="301"/>
      <c r="D506" s="302"/>
      <c r="E506" s="447"/>
      <c r="F506" s="447"/>
      <c r="G506" s="13"/>
      <c r="H506" s="13"/>
    </row>
    <row r="507" spans="1:8" ht="14.25" x14ac:dyDescent="0.3">
      <c r="A507" s="301"/>
      <c r="B507" s="309"/>
      <c r="C507" s="301"/>
      <c r="D507" s="302"/>
      <c r="E507" s="447"/>
      <c r="F507" s="447"/>
      <c r="G507" s="13"/>
      <c r="H507" s="13"/>
    </row>
    <row r="508" spans="1:8" ht="13.5" x14ac:dyDescent="0.25">
      <c r="A508" s="299"/>
      <c r="B508" s="299"/>
      <c r="C508" s="299"/>
      <c r="D508" s="300"/>
      <c r="E508" s="448"/>
      <c r="F508" s="448"/>
      <c r="G508" s="13"/>
      <c r="H508" s="13"/>
    </row>
    <row r="509" spans="1:8" ht="14.25" x14ac:dyDescent="0.3">
      <c r="A509" s="301"/>
      <c r="B509" s="309"/>
      <c r="C509" s="301"/>
      <c r="D509" s="302"/>
      <c r="E509" s="447"/>
      <c r="F509" s="447"/>
      <c r="G509" s="13"/>
      <c r="H509" s="13"/>
    </row>
    <row r="510" spans="1:8" ht="14.25" x14ac:dyDescent="0.3">
      <c r="A510" s="301"/>
      <c r="B510" s="309"/>
      <c r="C510" s="301"/>
      <c r="D510" s="302"/>
      <c r="E510" s="447"/>
      <c r="F510" s="447"/>
      <c r="G510" s="13"/>
      <c r="H510" s="13"/>
    </row>
    <row r="511" spans="1:8" ht="14.25" x14ac:dyDescent="0.3">
      <c r="A511" s="301"/>
      <c r="B511" s="309"/>
      <c r="C511" s="301"/>
      <c r="D511" s="302"/>
      <c r="E511" s="447"/>
      <c r="F511" s="447"/>
      <c r="G511" s="13"/>
      <c r="H511" s="13"/>
    </row>
    <row r="512" spans="1:8" ht="14.25" x14ac:dyDescent="0.3">
      <c r="A512" s="301"/>
      <c r="B512" s="309"/>
      <c r="C512" s="301"/>
      <c r="D512" s="302"/>
      <c r="E512" s="447"/>
      <c r="F512" s="447"/>
      <c r="G512" s="13"/>
      <c r="H512" s="13"/>
    </row>
    <row r="513" spans="1:8" ht="13.5" x14ac:dyDescent="0.25">
      <c r="A513" s="299"/>
      <c r="B513" s="299"/>
      <c r="C513" s="299"/>
      <c r="D513" s="300"/>
      <c r="E513" s="448"/>
      <c r="F513" s="448"/>
      <c r="G513" s="13"/>
      <c r="H513" s="13"/>
    </row>
    <row r="514" spans="1:8" ht="14.25" x14ac:dyDescent="0.3">
      <c r="A514" s="301"/>
      <c r="B514" s="309"/>
      <c r="C514" s="301"/>
      <c r="D514" s="302"/>
      <c r="E514" s="447"/>
      <c r="F514" s="447"/>
      <c r="G514" s="13"/>
      <c r="H514" s="13"/>
    </row>
    <row r="515" spans="1:8" ht="14.25" x14ac:dyDescent="0.3">
      <c r="A515" s="301"/>
      <c r="B515" s="309"/>
      <c r="C515" s="301"/>
      <c r="D515" s="302"/>
      <c r="E515" s="447"/>
      <c r="F515" s="447"/>
      <c r="G515" s="13"/>
      <c r="H515" s="13"/>
    </row>
    <row r="516" spans="1:8" ht="14.25" x14ac:dyDescent="0.3">
      <c r="A516" s="301"/>
      <c r="B516" s="309"/>
      <c r="C516" s="301"/>
      <c r="D516" s="302"/>
      <c r="E516" s="447"/>
      <c r="F516" s="447"/>
      <c r="G516" s="13"/>
      <c r="H516" s="13"/>
    </row>
    <row r="517" spans="1:8" ht="14.25" x14ac:dyDescent="0.3">
      <c r="A517" s="301"/>
      <c r="B517" s="309"/>
      <c r="C517" s="301"/>
      <c r="D517" s="302"/>
      <c r="E517" s="447"/>
      <c r="F517" s="447"/>
      <c r="G517" s="13"/>
      <c r="H517" s="13"/>
    </row>
    <row r="518" spans="1:8" ht="13.5" x14ac:dyDescent="0.25">
      <c r="A518" s="299"/>
      <c r="B518" s="299"/>
      <c r="C518" s="299"/>
      <c r="D518" s="300"/>
      <c r="E518" s="448"/>
      <c r="F518" s="448"/>
      <c r="G518" s="13"/>
      <c r="H518" s="13"/>
    </row>
    <row r="519" spans="1:8" ht="14.25" x14ac:dyDescent="0.3">
      <c r="A519" s="301"/>
      <c r="B519" s="309"/>
      <c r="C519" s="301"/>
      <c r="D519" s="302"/>
      <c r="E519" s="447"/>
      <c r="F519" s="447"/>
      <c r="G519" s="13"/>
      <c r="H519" s="13"/>
    </row>
    <row r="520" spans="1:8" ht="14.25" x14ac:dyDescent="0.3">
      <c r="A520" s="301"/>
      <c r="B520" s="309"/>
      <c r="C520" s="301"/>
      <c r="D520" s="302"/>
      <c r="E520" s="447"/>
      <c r="F520" s="447"/>
      <c r="G520" s="13"/>
      <c r="H520" s="13"/>
    </row>
    <row r="521" spans="1:8" ht="14.25" x14ac:dyDescent="0.3">
      <c r="A521" s="301"/>
      <c r="B521" s="309"/>
      <c r="C521" s="301"/>
      <c r="D521" s="302"/>
      <c r="E521" s="447"/>
      <c r="F521" s="447"/>
      <c r="G521" s="13"/>
      <c r="H521" s="13"/>
    </row>
    <row r="522" spans="1:8" ht="14.25" x14ac:dyDescent="0.3">
      <c r="A522" s="301"/>
      <c r="B522" s="309"/>
      <c r="C522" s="301"/>
      <c r="D522" s="302"/>
      <c r="E522" s="447"/>
      <c r="F522" s="447"/>
      <c r="G522" s="13"/>
      <c r="H522" s="13"/>
    </row>
    <row r="523" spans="1:8" ht="13.5" x14ac:dyDescent="0.25">
      <c r="A523" s="299"/>
      <c r="B523" s="299"/>
      <c r="C523" s="299"/>
      <c r="D523" s="300"/>
      <c r="E523" s="448"/>
      <c r="F523" s="448"/>
      <c r="G523" s="13"/>
      <c r="H523" s="13"/>
    </row>
    <row r="524" spans="1:8" ht="14.25" x14ac:dyDescent="0.3">
      <c r="A524" s="301"/>
      <c r="B524" s="309"/>
      <c r="C524" s="301"/>
      <c r="D524" s="302"/>
      <c r="E524" s="447"/>
      <c r="F524" s="447"/>
      <c r="G524" s="13"/>
      <c r="H524" s="13"/>
    </row>
    <row r="525" spans="1:8" ht="14.25" x14ac:dyDescent="0.3">
      <c r="A525" s="301"/>
      <c r="B525" s="309"/>
      <c r="C525" s="301"/>
      <c r="D525" s="302"/>
      <c r="E525" s="447"/>
      <c r="F525" s="447"/>
      <c r="G525" s="13"/>
      <c r="H525" s="13"/>
    </row>
    <row r="526" spans="1:8" ht="14.25" x14ac:dyDescent="0.3">
      <c r="A526" s="301"/>
      <c r="B526" s="309"/>
      <c r="C526" s="301"/>
      <c r="D526" s="302"/>
      <c r="E526" s="447"/>
      <c r="F526" s="447"/>
      <c r="G526" s="13"/>
      <c r="H526" s="13"/>
    </row>
    <row r="527" spans="1:8" ht="14.25" x14ac:dyDescent="0.3">
      <c r="A527" s="301"/>
      <c r="B527" s="309"/>
      <c r="C527" s="301"/>
      <c r="D527" s="302"/>
      <c r="E527" s="447"/>
      <c r="F527" s="447"/>
      <c r="G527" s="13"/>
      <c r="H527" s="13"/>
    </row>
    <row r="528" spans="1:8" ht="13.5" x14ac:dyDescent="0.25">
      <c r="A528" s="299"/>
      <c r="B528" s="299"/>
      <c r="C528" s="299"/>
      <c r="D528" s="300"/>
      <c r="E528" s="448"/>
      <c r="F528" s="448"/>
      <c r="G528" s="13"/>
      <c r="H528" s="13"/>
    </row>
    <row r="529" spans="1:8" ht="14.25" x14ac:dyDescent="0.3">
      <c r="A529" s="301"/>
      <c r="B529" s="309"/>
      <c r="C529" s="301"/>
      <c r="D529" s="302"/>
      <c r="E529" s="447"/>
      <c r="F529" s="447"/>
      <c r="G529" s="13"/>
      <c r="H529" s="13"/>
    </row>
    <row r="530" spans="1:8" ht="14.25" x14ac:dyDescent="0.3">
      <c r="A530" s="301"/>
      <c r="B530" s="309"/>
      <c r="C530" s="301"/>
      <c r="D530" s="302"/>
      <c r="E530" s="447"/>
      <c r="F530" s="447"/>
      <c r="G530" s="13"/>
      <c r="H530" s="13"/>
    </row>
    <row r="531" spans="1:8" ht="14.25" x14ac:dyDescent="0.3">
      <c r="A531" s="301"/>
      <c r="B531" s="309"/>
      <c r="C531" s="301"/>
      <c r="D531" s="302"/>
      <c r="E531" s="447"/>
      <c r="F531" s="447"/>
      <c r="G531" s="13"/>
      <c r="H531" s="13"/>
    </row>
    <row r="532" spans="1:8" ht="14.25" x14ac:dyDescent="0.3">
      <c r="A532" s="301"/>
      <c r="B532" s="309"/>
      <c r="C532" s="301"/>
      <c r="D532" s="302"/>
      <c r="E532" s="447"/>
      <c r="F532" s="447"/>
      <c r="G532" s="13"/>
      <c r="H532" s="13"/>
    </row>
    <row r="533" spans="1:8" ht="13.5" x14ac:dyDescent="0.25">
      <c r="A533" s="299"/>
      <c r="B533" s="299"/>
      <c r="C533" s="299"/>
      <c r="D533" s="300"/>
      <c r="E533" s="448"/>
      <c r="F533" s="448"/>
      <c r="G533" s="13"/>
      <c r="H533" s="13"/>
    </row>
    <row r="534" spans="1:8" ht="14.25" x14ac:dyDescent="0.3">
      <c r="A534" s="301"/>
      <c r="B534" s="309"/>
      <c r="C534" s="301"/>
      <c r="D534" s="302"/>
      <c r="E534" s="447"/>
      <c r="F534" s="447"/>
      <c r="G534" s="13"/>
      <c r="H534" s="13"/>
    </row>
    <row r="535" spans="1:8" ht="14.25" x14ac:dyDescent="0.3">
      <c r="A535" s="301"/>
      <c r="B535" s="309"/>
      <c r="C535" s="301"/>
      <c r="D535" s="302"/>
      <c r="E535" s="447"/>
      <c r="F535" s="447"/>
      <c r="G535" s="13"/>
      <c r="H535" s="13"/>
    </row>
    <row r="536" spans="1:8" ht="14.25" x14ac:dyDescent="0.3">
      <c r="A536" s="301"/>
      <c r="B536" s="309"/>
      <c r="C536" s="301"/>
      <c r="D536" s="302"/>
      <c r="E536" s="447"/>
      <c r="F536" s="447"/>
      <c r="G536" s="13"/>
      <c r="H536" s="13"/>
    </row>
    <row r="537" spans="1:8" ht="14.25" x14ac:dyDescent="0.3">
      <c r="A537" s="301"/>
      <c r="B537" s="309"/>
      <c r="C537" s="301"/>
      <c r="D537" s="302"/>
      <c r="E537" s="447"/>
      <c r="F537" s="447"/>
      <c r="G537" s="13"/>
      <c r="H537" s="13"/>
    </row>
    <row r="538" spans="1:8" ht="13.5" x14ac:dyDescent="0.25">
      <c r="A538" s="299"/>
      <c r="B538" s="299"/>
      <c r="C538" s="299"/>
      <c r="D538" s="300"/>
      <c r="E538" s="448"/>
      <c r="F538" s="448"/>
      <c r="G538" s="13"/>
      <c r="H538" s="13"/>
    </row>
    <row r="539" spans="1:8" ht="14.25" x14ac:dyDescent="0.3">
      <c r="A539" s="301"/>
      <c r="B539" s="309"/>
      <c r="C539" s="301"/>
      <c r="D539" s="302"/>
      <c r="E539" s="447"/>
      <c r="F539" s="447"/>
      <c r="G539" s="13"/>
      <c r="H539" s="13"/>
    </row>
    <row r="540" spans="1:8" ht="14.25" x14ac:dyDescent="0.3">
      <c r="A540" s="301"/>
      <c r="B540" s="309"/>
      <c r="C540" s="301"/>
      <c r="D540" s="302"/>
      <c r="E540" s="447"/>
      <c r="F540" s="447"/>
      <c r="G540" s="13"/>
      <c r="H540" s="13"/>
    </row>
    <row r="541" spans="1:8" ht="14.25" x14ac:dyDescent="0.3">
      <c r="A541" s="301"/>
      <c r="B541" s="309"/>
      <c r="C541" s="301"/>
      <c r="D541" s="302"/>
      <c r="E541" s="447"/>
      <c r="F541" s="447"/>
      <c r="G541" s="13"/>
      <c r="H541" s="13"/>
    </row>
    <row r="542" spans="1:8" ht="14.25" x14ac:dyDescent="0.3">
      <c r="A542" s="301"/>
      <c r="B542" s="309"/>
      <c r="C542" s="301"/>
      <c r="D542" s="302"/>
      <c r="E542" s="447"/>
      <c r="F542" s="447"/>
      <c r="G542" s="13"/>
      <c r="H542" s="13"/>
    </row>
    <row r="543" spans="1:8" ht="13.5" x14ac:dyDescent="0.25">
      <c r="A543" s="299"/>
      <c r="B543" s="299"/>
      <c r="C543" s="299"/>
      <c r="D543" s="300"/>
      <c r="E543" s="448"/>
      <c r="F543" s="448"/>
      <c r="G543" s="13"/>
      <c r="H543" s="13"/>
    </row>
    <row r="544" spans="1:8" ht="14.25" x14ac:dyDescent="0.3">
      <c r="A544" s="301"/>
      <c r="B544" s="309"/>
      <c r="C544" s="301"/>
      <c r="D544" s="302"/>
      <c r="E544" s="447"/>
      <c r="F544" s="447"/>
      <c r="G544" s="13"/>
      <c r="H544" s="13"/>
    </row>
    <row r="545" spans="1:8" ht="14.25" x14ac:dyDescent="0.3">
      <c r="A545" s="301"/>
      <c r="B545" s="309"/>
      <c r="C545" s="301"/>
      <c r="D545" s="302"/>
      <c r="E545" s="447"/>
      <c r="F545" s="447"/>
      <c r="G545" s="13"/>
      <c r="H545" s="13"/>
    </row>
    <row r="546" spans="1:8" ht="14.25" x14ac:dyDescent="0.3">
      <c r="A546" s="301"/>
      <c r="B546" s="309"/>
      <c r="C546" s="301"/>
      <c r="D546" s="302"/>
      <c r="E546" s="447"/>
      <c r="F546" s="447"/>
      <c r="G546" s="13"/>
      <c r="H546" s="13"/>
    </row>
    <row r="547" spans="1:8" ht="14.25" x14ac:dyDescent="0.3">
      <c r="A547" s="301"/>
      <c r="B547" s="309"/>
      <c r="C547" s="301"/>
      <c r="D547" s="302"/>
      <c r="E547" s="447"/>
      <c r="F547" s="447"/>
      <c r="G547" s="13"/>
      <c r="H547" s="13"/>
    </row>
    <row r="548" spans="1:8" ht="13.5" x14ac:dyDescent="0.25">
      <c r="A548" s="299"/>
      <c r="B548" s="299"/>
      <c r="C548" s="299"/>
      <c r="D548" s="300"/>
      <c r="E548" s="448"/>
      <c r="F548" s="448"/>
      <c r="G548" s="13"/>
      <c r="H548" s="13"/>
    </row>
    <row r="549" spans="1:8" ht="14.25" x14ac:dyDescent="0.3">
      <c r="A549" s="301"/>
      <c r="B549" s="309"/>
      <c r="C549" s="301"/>
      <c r="D549" s="302"/>
      <c r="E549" s="447"/>
      <c r="F549" s="447"/>
      <c r="G549" s="13"/>
      <c r="H549" s="13"/>
    </row>
    <row r="550" spans="1:8" ht="14.25" x14ac:dyDescent="0.3">
      <c r="A550" s="301"/>
      <c r="B550" s="309"/>
      <c r="C550" s="301"/>
      <c r="D550" s="302"/>
      <c r="E550" s="447"/>
      <c r="F550" s="447"/>
      <c r="G550" s="13"/>
      <c r="H550" s="13"/>
    </row>
    <row r="551" spans="1:8" ht="14.25" x14ac:dyDescent="0.3">
      <c r="A551" s="301"/>
      <c r="B551" s="309"/>
      <c r="C551" s="301"/>
      <c r="D551" s="302"/>
      <c r="E551" s="447"/>
      <c r="F551" s="447"/>
      <c r="G551" s="13"/>
      <c r="H551" s="13"/>
    </row>
    <row r="552" spans="1:8" ht="14.25" x14ac:dyDescent="0.3">
      <c r="A552" s="301"/>
      <c r="B552" s="309"/>
      <c r="C552" s="301"/>
      <c r="D552" s="302"/>
      <c r="E552" s="447"/>
      <c r="F552" s="447"/>
      <c r="G552" s="13"/>
      <c r="H552" s="13"/>
    </row>
    <row r="553" spans="1:8" ht="13.5" x14ac:dyDescent="0.25">
      <c r="A553" s="299"/>
      <c r="B553" s="299"/>
      <c r="C553" s="299"/>
      <c r="D553" s="300"/>
      <c r="E553" s="448"/>
      <c r="F553" s="448"/>
      <c r="G553" s="13"/>
      <c r="H553" s="13"/>
    </row>
    <row r="554" spans="1:8" ht="14.25" x14ac:dyDescent="0.3">
      <c r="A554" s="301"/>
      <c r="B554" s="309"/>
      <c r="C554" s="301"/>
      <c r="D554" s="302"/>
      <c r="E554" s="447"/>
      <c r="F554" s="447"/>
      <c r="G554" s="13"/>
      <c r="H554" s="13"/>
    </row>
    <row r="555" spans="1:8" ht="14.25" x14ac:dyDescent="0.3">
      <c r="A555" s="301"/>
      <c r="B555" s="309"/>
      <c r="C555" s="301"/>
      <c r="D555" s="302"/>
      <c r="E555" s="447"/>
      <c r="F555" s="447"/>
      <c r="G555" s="13"/>
      <c r="H555" s="13"/>
    </row>
    <row r="556" spans="1:8" ht="14.25" x14ac:dyDescent="0.3">
      <c r="A556" s="301"/>
      <c r="B556" s="309"/>
      <c r="C556" s="301"/>
      <c r="D556" s="302"/>
      <c r="E556" s="447"/>
      <c r="F556" s="447"/>
      <c r="G556" s="13"/>
      <c r="H556" s="13"/>
    </row>
    <row r="557" spans="1:8" ht="14.25" x14ac:dyDescent="0.3">
      <c r="A557" s="301"/>
      <c r="B557" s="309"/>
      <c r="C557" s="301"/>
      <c r="D557" s="302"/>
      <c r="E557" s="447"/>
      <c r="F557" s="447"/>
      <c r="G557" s="13"/>
      <c r="H557" s="13"/>
    </row>
    <row r="558" spans="1:8" ht="13.5" x14ac:dyDescent="0.25">
      <c r="A558" s="299"/>
      <c r="B558" s="299"/>
      <c r="C558" s="299"/>
      <c r="D558" s="300"/>
      <c r="E558" s="448"/>
      <c r="F558" s="448"/>
      <c r="G558" s="13"/>
      <c r="H558" s="13"/>
    </row>
    <row r="559" spans="1:8" ht="14.25" x14ac:dyDescent="0.3">
      <c r="A559" s="301"/>
      <c r="B559" s="309"/>
      <c r="C559" s="301"/>
      <c r="D559" s="302"/>
      <c r="E559" s="447"/>
      <c r="F559" s="447"/>
      <c r="G559" s="13"/>
      <c r="H559" s="13"/>
    </row>
    <row r="560" spans="1:8" ht="14.25" x14ac:dyDescent="0.3">
      <c r="A560" s="301"/>
      <c r="B560" s="309"/>
      <c r="C560" s="301"/>
      <c r="D560" s="302"/>
      <c r="E560" s="447"/>
      <c r="F560" s="447"/>
      <c r="G560" s="13"/>
      <c r="H560" s="13"/>
    </row>
    <row r="561" spans="1:8" ht="14.25" x14ac:dyDescent="0.3">
      <c r="A561" s="301"/>
      <c r="B561" s="309"/>
      <c r="C561" s="301"/>
      <c r="D561" s="302"/>
      <c r="E561" s="447"/>
      <c r="F561" s="447"/>
      <c r="G561" s="13"/>
      <c r="H561" s="13"/>
    </row>
    <row r="562" spans="1:8" ht="14.25" x14ac:dyDescent="0.3">
      <c r="A562" s="301"/>
      <c r="B562" s="309"/>
      <c r="C562" s="301"/>
      <c r="D562" s="302"/>
      <c r="E562" s="447"/>
      <c r="F562" s="447"/>
      <c r="G562" s="13"/>
      <c r="H562" s="13"/>
    </row>
    <row r="563" spans="1:8" ht="13.5" x14ac:dyDescent="0.25">
      <c r="A563" s="299"/>
      <c r="B563" s="299"/>
      <c r="C563" s="299"/>
      <c r="D563" s="300"/>
      <c r="E563" s="448"/>
      <c r="F563" s="448"/>
      <c r="G563" s="13"/>
      <c r="H563" s="13"/>
    </row>
    <row r="564" spans="1:8" ht="14.25" x14ac:dyDescent="0.3">
      <c r="A564" s="301"/>
      <c r="B564" s="309"/>
      <c r="C564" s="301"/>
      <c r="D564" s="302"/>
      <c r="E564" s="447"/>
      <c r="F564" s="447"/>
      <c r="G564" s="13"/>
      <c r="H564" s="13"/>
    </row>
    <row r="565" spans="1:8" ht="14.25" x14ac:dyDescent="0.3">
      <c r="A565" s="301"/>
      <c r="B565" s="309"/>
      <c r="C565" s="301"/>
      <c r="D565" s="302"/>
      <c r="E565" s="447"/>
      <c r="F565" s="447"/>
      <c r="G565" s="13"/>
      <c r="H565" s="13"/>
    </row>
    <row r="566" spans="1:8" ht="14.25" x14ac:dyDescent="0.3">
      <c r="A566" s="301"/>
      <c r="B566" s="309"/>
      <c r="C566" s="301"/>
      <c r="D566" s="302"/>
      <c r="E566" s="447"/>
      <c r="F566" s="447"/>
      <c r="G566" s="13"/>
      <c r="H566" s="13"/>
    </row>
    <row r="567" spans="1:8" ht="14.25" x14ac:dyDescent="0.3">
      <c r="A567" s="301"/>
      <c r="B567" s="309"/>
      <c r="C567" s="301"/>
      <c r="D567" s="302"/>
      <c r="E567" s="447"/>
      <c r="F567" s="447"/>
      <c r="G567" s="13"/>
      <c r="H567" s="13"/>
    </row>
    <row r="568" spans="1:8" ht="13.5" x14ac:dyDescent="0.25">
      <c r="A568" s="299"/>
      <c r="B568" s="299"/>
      <c r="C568" s="299"/>
      <c r="D568" s="300"/>
      <c r="E568" s="448"/>
      <c r="F568" s="448"/>
      <c r="G568" s="13"/>
      <c r="H568" s="13"/>
    </row>
    <row r="569" spans="1:8" ht="14.25" x14ac:dyDescent="0.3">
      <c r="A569" s="301"/>
      <c r="B569" s="309"/>
      <c r="C569" s="301"/>
      <c r="D569" s="302"/>
      <c r="E569" s="447"/>
      <c r="F569" s="447"/>
      <c r="G569" s="13"/>
      <c r="H569" s="13"/>
    </row>
    <row r="570" spans="1:8" ht="14.25" x14ac:dyDescent="0.3">
      <c r="A570" s="301"/>
      <c r="B570" s="309"/>
      <c r="C570" s="301"/>
      <c r="D570" s="302"/>
      <c r="E570" s="447"/>
      <c r="F570" s="447"/>
      <c r="G570" s="13"/>
      <c r="H570" s="13"/>
    </row>
    <row r="571" spans="1:8" ht="14.25" x14ac:dyDescent="0.3">
      <c r="A571" s="301"/>
      <c r="B571" s="309"/>
      <c r="C571" s="301"/>
      <c r="D571" s="302"/>
      <c r="E571" s="447"/>
      <c r="F571" s="447"/>
      <c r="G571" s="13"/>
      <c r="H571" s="13"/>
    </row>
    <row r="572" spans="1:8" ht="14.25" x14ac:dyDescent="0.3">
      <c r="A572" s="301"/>
      <c r="B572" s="309"/>
      <c r="C572" s="301"/>
      <c r="D572" s="302"/>
      <c r="E572" s="447"/>
      <c r="F572" s="447"/>
      <c r="G572" s="13"/>
      <c r="H572" s="13"/>
    </row>
    <row r="573" spans="1:8" ht="13.5" x14ac:dyDescent="0.25">
      <c r="A573" s="299"/>
      <c r="B573" s="299"/>
      <c r="C573" s="299"/>
      <c r="D573" s="300"/>
      <c r="E573" s="448"/>
      <c r="F573" s="448"/>
      <c r="G573" s="13"/>
      <c r="H573" s="13"/>
    </row>
    <row r="574" spans="1:8" ht="14.25" x14ac:dyDescent="0.3">
      <c r="A574" s="301"/>
      <c r="B574" s="309"/>
      <c r="C574" s="301"/>
      <c r="D574" s="302"/>
      <c r="E574" s="447"/>
      <c r="F574" s="447"/>
      <c r="G574" s="13"/>
      <c r="H574" s="13"/>
    </row>
    <row r="575" spans="1:8" ht="14.25" x14ac:dyDescent="0.3">
      <c r="A575" s="301"/>
      <c r="B575" s="309"/>
      <c r="C575" s="301"/>
      <c r="D575" s="302"/>
      <c r="E575" s="447"/>
      <c r="F575" s="447"/>
      <c r="G575" s="13"/>
      <c r="H575" s="13"/>
    </row>
    <row r="576" spans="1:8" ht="14.25" x14ac:dyDescent="0.3">
      <c r="A576" s="301"/>
      <c r="B576" s="309"/>
      <c r="C576" s="301"/>
      <c r="D576" s="302"/>
      <c r="E576" s="447"/>
      <c r="F576" s="447"/>
      <c r="G576" s="13"/>
      <c r="H576" s="13"/>
    </row>
    <row r="577" spans="1:8" ht="14.25" x14ac:dyDescent="0.3">
      <c r="A577" s="301"/>
      <c r="B577" s="309"/>
      <c r="C577" s="301"/>
      <c r="D577" s="302"/>
      <c r="E577" s="447"/>
      <c r="F577" s="447"/>
      <c r="G577" s="13"/>
      <c r="H577" s="13"/>
    </row>
    <row r="578" spans="1:8" ht="13.5" x14ac:dyDescent="0.25">
      <c r="A578" s="299"/>
      <c r="B578" s="299"/>
      <c r="C578" s="299"/>
      <c r="D578" s="300"/>
      <c r="E578" s="448"/>
      <c r="F578" s="448"/>
      <c r="G578" s="13"/>
      <c r="H578" s="13"/>
    </row>
    <row r="579" spans="1:8" ht="14.25" x14ac:dyDescent="0.3">
      <c r="A579" s="301"/>
      <c r="B579" s="309"/>
      <c r="C579" s="301"/>
      <c r="D579" s="302"/>
      <c r="E579" s="447"/>
      <c r="F579" s="447"/>
      <c r="G579" s="13"/>
      <c r="H579" s="13"/>
    </row>
    <row r="580" spans="1:8" ht="14.25" x14ac:dyDescent="0.3">
      <c r="A580" s="301"/>
      <c r="B580" s="309"/>
      <c r="C580" s="301"/>
      <c r="D580" s="302"/>
      <c r="E580" s="447"/>
      <c r="F580" s="447"/>
      <c r="G580" s="13"/>
      <c r="H580" s="13"/>
    </row>
    <row r="581" spans="1:8" ht="14.25" x14ac:dyDescent="0.3">
      <c r="A581" s="301"/>
      <c r="B581" s="309"/>
      <c r="C581" s="301"/>
      <c r="D581" s="302"/>
      <c r="E581" s="447"/>
      <c r="F581" s="447"/>
      <c r="G581" s="13"/>
      <c r="H581" s="13"/>
    </row>
    <row r="582" spans="1:8" ht="14.25" x14ac:dyDescent="0.3">
      <c r="A582" s="301"/>
      <c r="B582" s="309"/>
      <c r="C582" s="301"/>
      <c r="D582" s="302"/>
      <c r="E582" s="447"/>
      <c r="F582" s="447"/>
      <c r="G582" s="13"/>
      <c r="H582" s="13"/>
    </row>
    <row r="583" spans="1:8" ht="13.5" x14ac:dyDescent="0.25">
      <c r="A583" s="299"/>
      <c r="B583" s="299"/>
      <c r="C583" s="299"/>
      <c r="D583" s="300"/>
      <c r="E583" s="448"/>
      <c r="F583" s="448"/>
      <c r="G583" s="13"/>
      <c r="H583" s="13"/>
    </row>
    <row r="584" spans="1:8" ht="14.25" x14ac:dyDescent="0.3">
      <c r="A584" s="301"/>
      <c r="B584" s="309"/>
      <c r="C584" s="301"/>
      <c r="D584" s="302"/>
      <c r="E584" s="447"/>
      <c r="F584" s="447"/>
      <c r="G584" s="13"/>
      <c r="H584" s="13"/>
    </row>
    <row r="585" spans="1:8" ht="14.25" x14ac:dyDescent="0.3">
      <c r="A585" s="301"/>
      <c r="B585" s="309"/>
      <c r="C585" s="301"/>
      <c r="D585" s="302"/>
      <c r="E585" s="447"/>
      <c r="F585" s="447"/>
      <c r="G585" s="13"/>
      <c r="H585" s="13"/>
    </row>
    <row r="586" spans="1:8" ht="14.25" x14ac:dyDescent="0.3">
      <c r="A586" s="301"/>
      <c r="B586" s="309"/>
      <c r="C586" s="301"/>
      <c r="D586" s="302"/>
      <c r="E586" s="447"/>
      <c r="F586" s="447"/>
      <c r="G586" s="13"/>
      <c r="H586" s="13"/>
    </row>
    <row r="587" spans="1:8" ht="14.25" x14ac:dyDescent="0.3">
      <c r="A587" s="301"/>
      <c r="B587" s="309"/>
      <c r="C587" s="301"/>
      <c r="D587" s="302"/>
      <c r="E587" s="447"/>
      <c r="F587" s="447"/>
      <c r="G587" s="13"/>
      <c r="H587" s="13"/>
    </row>
    <row r="588" spans="1:8" ht="13.5" x14ac:dyDescent="0.25">
      <c r="A588" s="299"/>
      <c r="B588" s="299"/>
      <c r="C588" s="299"/>
      <c r="D588" s="300"/>
      <c r="E588" s="448"/>
      <c r="F588" s="448"/>
      <c r="G588" s="13"/>
      <c r="H588" s="13"/>
    </row>
    <row r="589" spans="1:8" ht="14.25" x14ac:dyDescent="0.3">
      <c r="A589" s="301"/>
      <c r="B589" s="309"/>
      <c r="C589" s="301"/>
      <c r="D589" s="302"/>
      <c r="E589" s="447"/>
      <c r="F589" s="447"/>
      <c r="G589" s="13"/>
      <c r="H589" s="13"/>
    </row>
    <row r="590" spans="1:8" ht="14.25" x14ac:dyDescent="0.3">
      <c r="A590" s="301"/>
      <c r="B590" s="309"/>
      <c r="C590" s="301"/>
      <c r="D590" s="302"/>
      <c r="E590" s="447"/>
      <c r="F590" s="447"/>
      <c r="G590" s="13"/>
      <c r="H590" s="13"/>
    </row>
    <row r="591" spans="1:8" ht="14.25" x14ac:dyDescent="0.3">
      <c r="A591" s="301"/>
      <c r="B591" s="309"/>
      <c r="C591" s="301"/>
      <c r="D591" s="302"/>
      <c r="E591" s="447"/>
      <c r="F591" s="447"/>
      <c r="G591" s="13"/>
      <c r="H591" s="13"/>
    </row>
    <row r="592" spans="1:8" ht="14.25" x14ac:dyDescent="0.3">
      <c r="A592" s="301"/>
      <c r="B592" s="309"/>
      <c r="C592" s="301"/>
      <c r="D592" s="302"/>
      <c r="E592" s="447"/>
      <c r="F592" s="447"/>
      <c r="G592" s="13"/>
      <c r="H592" s="13"/>
    </row>
    <row r="593" spans="1:8" ht="13.5" x14ac:dyDescent="0.25">
      <c r="A593" s="299"/>
      <c r="B593" s="299"/>
      <c r="C593" s="299"/>
      <c r="D593" s="300"/>
      <c r="E593" s="448"/>
      <c r="F593" s="448"/>
      <c r="G593" s="13"/>
      <c r="H593" s="13"/>
    </row>
    <row r="594" spans="1:8" ht="14.25" x14ac:dyDescent="0.3">
      <c r="A594" s="301"/>
      <c r="B594" s="309"/>
      <c r="C594" s="301"/>
      <c r="D594" s="302"/>
      <c r="E594" s="447"/>
      <c r="F594" s="447"/>
      <c r="G594" s="13"/>
      <c r="H594" s="13"/>
    </row>
    <row r="595" spans="1:8" ht="14.25" x14ac:dyDescent="0.3">
      <c r="A595" s="301"/>
      <c r="B595" s="309"/>
      <c r="C595" s="301"/>
      <c r="D595" s="302"/>
      <c r="E595" s="447"/>
      <c r="F595" s="447"/>
      <c r="G595" s="13"/>
      <c r="H595" s="13"/>
    </row>
    <row r="596" spans="1:8" ht="14.25" x14ac:dyDescent="0.3">
      <c r="A596" s="301"/>
      <c r="B596" s="309"/>
      <c r="C596" s="301"/>
      <c r="D596" s="302"/>
      <c r="E596" s="447"/>
      <c r="F596" s="447"/>
      <c r="G596" s="13"/>
      <c r="H596" s="13"/>
    </row>
    <row r="597" spans="1:8" ht="14.25" x14ac:dyDescent="0.3">
      <c r="A597" s="301"/>
      <c r="B597" s="309"/>
      <c r="C597" s="301"/>
      <c r="D597" s="302"/>
      <c r="E597" s="447"/>
      <c r="F597" s="447"/>
      <c r="G597" s="13"/>
      <c r="H597" s="13"/>
    </row>
    <row r="598" spans="1:8" ht="13.5" x14ac:dyDescent="0.25">
      <c r="A598" s="299"/>
      <c r="B598" s="299"/>
      <c r="C598" s="299"/>
      <c r="D598" s="300"/>
      <c r="E598" s="448"/>
      <c r="F598" s="448"/>
      <c r="G598" s="13"/>
      <c r="H598" s="13"/>
    </row>
    <row r="599" spans="1:8" ht="14.25" x14ac:dyDescent="0.3">
      <c r="A599" s="301"/>
      <c r="B599" s="309"/>
      <c r="C599" s="301"/>
      <c r="D599" s="302"/>
      <c r="E599" s="447"/>
      <c r="F599" s="447"/>
      <c r="G599" s="13"/>
      <c r="H599" s="13"/>
    </row>
    <row r="600" spans="1:8" ht="14.25" x14ac:dyDescent="0.3">
      <c r="A600" s="301"/>
      <c r="B600" s="309"/>
      <c r="C600" s="301"/>
      <c r="D600" s="302"/>
      <c r="E600" s="447"/>
      <c r="F600" s="447"/>
      <c r="G600" s="13"/>
      <c r="H600" s="13"/>
    </row>
    <row r="601" spans="1:8" ht="14.25" x14ac:dyDescent="0.3">
      <c r="A601" s="301"/>
      <c r="B601" s="309"/>
      <c r="C601" s="301"/>
      <c r="D601" s="302"/>
      <c r="E601" s="447"/>
      <c r="F601" s="447"/>
      <c r="G601" s="13"/>
      <c r="H601" s="13"/>
    </row>
    <row r="602" spans="1:8" ht="14.25" x14ac:dyDescent="0.3">
      <c r="A602" s="301"/>
      <c r="B602" s="309"/>
      <c r="C602" s="301"/>
      <c r="D602" s="302"/>
      <c r="E602" s="447"/>
      <c r="F602" s="447"/>
      <c r="G602" s="13"/>
      <c r="H602" s="13"/>
    </row>
    <row r="603" spans="1:8" ht="13.5" x14ac:dyDescent="0.25">
      <c r="A603" s="299"/>
      <c r="B603" s="299"/>
      <c r="C603" s="299"/>
      <c r="D603" s="300"/>
      <c r="E603" s="448"/>
      <c r="F603" s="448"/>
      <c r="G603" s="13"/>
      <c r="H603" s="13"/>
    </row>
    <row r="604" spans="1:8" ht="14.25" x14ac:dyDescent="0.3">
      <c r="A604" s="301"/>
      <c r="B604" s="309"/>
      <c r="C604" s="301"/>
      <c r="D604" s="302"/>
      <c r="E604" s="447"/>
      <c r="F604" s="447"/>
      <c r="G604" s="13"/>
      <c r="H604" s="13"/>
    </row>
    <row r="605" spans="1:8" ht="14.25" x14ac:dyDescent="0.3">
      <c r="A605" s="301"/>
      <c r="B605" s="309"/>
      <c r="C605" s="301"/>
      <c r="D605" s="302"/>
      <c r="E605" s="447"/>
      <c r="F605" s="447"/>
      <c r="G605" s="13"/>
      <c r="H605" s="13"/>
    </row>
    <row r="606" spans="1:8" ht="14.25" x14ac:dyDescent="0.3">
      <c r="A606" s="301"/>
      <c r="B606" s="309"/>
      <c r="C606" s="301"/>
      <c r="D606" s="302"/>
      <c r="E606" s="447"/>
      <c r="F606" s="447"/>
      <c r="G606" s="13"/>
      <c r="H606" s="13"/>
    </row>
    <row r="607" spans="1:8" ht="14.25" x14ac:dyDescent="0.3">
      <c r="A607" s="301"/>
      <c r="B607" s="309"/>
      <c r="C607" s="301"/>
      <c r="D607" s="302"/>
      <c r="E607" s="447"/>
      <c r="F607" s="447"/>
      <c r="G607" s="13"/>
      <c r="H607" s="13"/>
    </row>
    <row r="608" spans="1:8" ht="13.5" x14ac:dyDescent="0.25">
      <c r="A608" s="299"/>
      <c r="B608" s="299"/>
      <c r="C608" s="299"/>
      <c r="D608" s="300"/>
      <c r="E608" s="448"/>
      <c r="F608" s="448"/>
      <c r="G608" s="13"/>
      <c r="H608" s="13"/>
    </row>
    <row r="609" spans="1:8" ht="14.25" x14ac:dyDescent="0.3">
      <c r="A609" s="301"/>
      <c r="B609" s="309"/>
      <c r="C609" s="301"/>
      <c r="D609" s="302"/>
      <c r="E609" s="447"/>
      <c r="F609" s="447"/>
      <c r="G609" s="13"/>
      <c r="H609" s="13"/>
    </row>
    <row r="610" spans="1:8" ht="14.25" x14ac:dyDescent="0.3">
      <c r="A610" s="301"/>
      <c r="B610" s="309"/>
      <c r="C610" s="301"/>
      <c r="D610" s="302"/>
      <c r="E610" s="447"/>
      <c r="F610" s="447"/>
      <c r="G610" s="13"/>
      <c r="H610" s="13"/>
    </row>
    <row r="611" spans="1:8" ht="14.25" x14ac:dyDescent="0.3">
      <c r="A611" s="301"/>
      <c r="B611" s="309"/>
      <c r="C611" s="301"/>
      <c r="D611" s="302"/>
      <c r="E611" s="447"/>
      <c r="F611" s="447"/>
      <c r="G611" s="13"/>
      <c r="H611" s="13"/>
    </row>
    <row r="612" spans="1:8" ht="14.25" x14ac:dyDescent="0.3">
      <c r="A612" s="301"/>
      <c r="B612" s="309"/>
      <c r="C612" s="301"/>
      <c r="D612" s="302"/>
      <c r="E612" s="447"/>
      <c r="F612" s="447"/>
      <c r="G612" s="13"/>
      <c r="H612" s="13"/>
    </row>
    <row r="613" spans="1:8" ht="13.5" x14ac:dyDescent="0.25">
      <c r="A613" s="299"/>
      <c r="B613" s="299"/>
      <c r="C613" s="299"/>
      <c r="D613" s="300"/>
      <c r="E613" s="448"/>
      <c r="F613" s="448"/>
      <c r="G613" s="13"/>
      <c r="H613" s="13"/>
    </row>
    <row r="614" spans="1:8" ht="14.25" x14ac:dyDescent="0.3">
      <c r="A614" s="301"/>
      <c r="B614" s="309"/>
      <c r="C614" s="301"/>
      <c r="D614" s="302"/>
      <c r="E614" s="447"/>
      <c r="F614" s="447"/>
      <c r="G614" s="13"/>
      <c r="H614" s="13"/>
    </row>
    <row r="615" spans="1:8" ht="14.25" x14ac:dyDescent="0.3">
      <c r="A615" s="301"/>
      <c r="B615" s="309"/>
      <c r="C615" s="301"/>
      <c r="D615" s="302"/>
      <c r="E615" s="447"/>
      <c r="F615" s="447"/>
      <c r="G615" s="13"/>
      <c r="H615" s="13"/>
    </row>
    <row r="616" spans="1:8" ht="14.25" x14ac:dyDescent="0.3">
      <c r="A616" s="301"/>
      <c r="B616" s="309"/>
      <c r="C616" s="301"/>
      <c r="D616" s="302"/>
      <c r="E616" s="447"/>
      <c r="F616" s="447"/>
      <c r="G616" s="13"/>
      <c r="H616" s="13"/>
    </row>
    <row r="617" spans="1:8" ht="14.25" x14ac:dyDescent="0.3">
      <c r="A617" s="301"/>
      <c r="B617" s="309"/>
      <c r="C617" s="301"/>
      <c r="D617" s="302"/>
      <c r="E617" s="447"/>
      <c r="F617" s="447"/>
      <c r="G617" s="13"/>
      <c r="H617" s="13"/>
    </row>
    <row r="618" spans="1:8" ht="13.5" x14ac:dyDescent="0.25">
      <c r="A618" s="299"/>
      <c r="B618" s="299"/>
      <c r="C618" s="299"/>
      <c r="D618" s="300"/>
      <c r="E618" s="448"/>
      <c r="F618" s="448"/>
      <c r="G618" s="13"/>
      <c r="H618" s="13"/>
    </row>
    <row r="619" spans="1:8" ht="14.25" x14ac:dyDescent="0.3">
      <c r="A619" s="301"/>
      <c r="B619" s="309"/>
      <c r="C619" s="301"/>
      <c r="D619" s="302"/>
      <c r="E619" s="447"/>
      <c r="F619" s="447"/>
      <c r="G619" s="13"/>
      <c r="H619" s="13"/>
    </row>
    <row r="620" spans="1:8" ht="14.25" x14ac:dyDescent="0.3">
      <c r="A620" s="301"/>
      <c r="B620" s="309"/>
      <c r="C620" s="301"/>
      <c r="D620" s="302"/>
      <c r="E620" s="447"/>
      <c r="F620" s="447"/>
      <c r="G620" s="13"/>
      <c r="H620" s="13"/>
    </row>
    <row r="621" spans="1:8" ht="14.25" x14ac:dyDescent="0.3">
      <c r="A621" s="301"/>
      <c r="B621" s="309"/>
      <c r="C621" s="301"/>
      <c r="D621" s="302"/>
      <c r="E621" s="447"/>
      <c r="F621" s="447"/>
      <c r="G621" s="13"/>
      <c r="H621" s="13"/>
    </row>
    <row r="622" spans="1:8" ht="14.25" x14ac:dyDescent="0.3">
      <c r="A622" s="301"/>
      <c r="B622" s="309"/>
      <c r="C622" s="301"/>
      <c r="D622" s="302"/>
      <c r="E622" s="447"/>
      <c r="F622" s="447"/>
      <c r="G622" s="13"/>
      <c r="H622" s="13"/>
    </row>
    <row r="623" spans="1:8" ht="13.5" x14ac:dyDescent="0.25">
      <c r="A623" s="299"/>
      <c r="B623" s="299"/>
      <c r="C623" s="299"/>
      <c r="D623" s="300"/>
      <c r="E623" s="448"/>
      <c r="F623" s="448"/>
      <c r="G623" s="13"/>
      <c r="H623" s="13"/>
    </row>
    <row r="624" spans="1:8" ht="14.25" x14ac:dyDescent="0.3">
      <c r="A624" s="301"/>
      <c r="B624" s="309"/>
      <c r="C624" s="301"/>
      <c r="D624" s="302"/>
      <c r="E624" s="447"/>
      <c r="F624" s="447"/>
      <c r="G624" s="13"/>
      <c r="H624" s="13"/>
    </row>
    <row r="625" spans="1:8" ht="14.25" x14ac:dyDescent="0.3">
      <c r="A625" s="301"/>
      <c r="B625" s="309"/>
      <c r="C625" s="301"/>
      <c r="D625" s="302"/>
      <c r="E625" s="447"/>
      <c r="F625" s="447"/>
      <c r="G625" s="13"/>
      <c r="H625" s="13"/>
    </row>
    <row r="626" spans="1:8" ht="14.25" x14ac:dyDescent="0.3">
      <c r="A626" s="301"/>
      <c r="B626" s="309"/>
      <c r="C626" s="301"/>
      <c r="D626" s="302"/>
      <c r="E626" s="447"/>
      <c r="F626" s="447"/>
      <c r="G626" s="13"/>
      <c r="H626" s="13"/>
    </row>
    <row r="627" spans="1:8" ht="14.25" x14ac:dyDescent="0.3">
      <c r="A627" s="301"/>
      <c r="B627" s="309"/>
      <c r="C627" s="301"/>
      <c r="D627" s="302"/>
      <c r="E627" s="447"/>
      <c r="F627" s="447"/>
      <c r="G627" s="13"/>
      <c r="H627" s="13"/>
    </row>
    <row r="628" spans="1:8" ht="13.5" x14ac:dyDescent="0.25">
      <c r="A628" s="299"/>
      <c r="B628" s="299"/>
      <c r="C628" s="299"/>
      <c r="D628" s="300"/>
      <c r="E628" s="448"/>
      <c r="F628" s="448"/>
      <c r="G628" s="13"/>
      <c r="H628" s="13"/>
    </row>
    <row r="629" spans="1:8" ht="14.25" x14ac:dyDescent="0.3">
      <c r="A629" s="301"/>
      <c r="B629" s="309"/>
      <c r="C629" s="301"/>
      <c r="D629" s="302"/>
      <c r="E629" s="447"/>
      <c r="F629" s="447"/>
      <c r="G629" s="13"/>
      <c r="H629" s="13"/>
    </row>
    <row r="630" spans="1:8" ht="14.25" x14ac:dyDescent="0.3">
      <c r="A630" s="301"/>
      <c r="B630" s="309"/>
      <c r="C630" s="301"/>
      <c r="D630" s="302"/>
      <c r="E630" s="447"/>
      <c r="F630" s="447"/>
      <c r="G630" s="13"/>
      <c r="H630" s="13"/>
    </row>
    <row r="631" spans="1:8" ht="14.25" x14ac:dyDescent="0.3">
      <c r="A631" s="301"/>
      <c r="B631" s="309"/>
      <c r="C631" s="301"/>
      <c r="D631" s="302"/>
      <c r="E631" s="447"/>
      <c r="F631" s="447"/>
      <c r="G631" s="13"/>
      <c r="H631" s="13"/>
    </row>
    <row r="632" spans="1:8" ht="14.25" x14ac:dyDescent="0.3">
      <c r="A632" s="301"/>
      <c r="B632" s="309"/>
      <c r="C632" s="301"/>
      <c r="D632" s="302"/>
      <c r="E632" s="447"/>
      <c r="F632" s="447"/>
      <c r="G632" s="13"/>
      <c r="H632" s="13"/>
    </row>
    <row r="633" spans="1:8" ht="13.5" x14ac:dyDescent="0.25">
      <c r="A633" s="299"/>
      <c r="B633" s="299"/>
      <c r="C633" s="299"/>
      <c r="D633" s="300"/>
      <c r="E633" s="448"/>
      <c r="F633" s="448"/>
      <c r="G633" s="13"/>
      <c r="H633" s="13"/>
    </row>
    <row r="634" spans="1:8" ht="14.25" x14ac:dyDescent="0.3">
      <c r="A634" s="301"/>
      <c r="B634" s="309"/>
      <c r="C634" s="301"/>
      <c r="D634" s="302"/>
      <c r="E634" s="447"/>
      <c r="F634" s="447"/>
      <c r="G634" s="13"/>
      <c r="H634" s="13"/>
    </row>
    <row r="635" spans="1:8" ht="14.25" x14ac:dyDescent="0.3">
      <c r="A635" s="301"/>
      <c r="B635" s="309"/>
      <c r="C635" s="301"/>
      <c r="D635" s="302"/>
      <c r="E635" s="447"/>
      <c r="F635" s="447"/>
      <c r="G635" s="13"/>
      <c r="H635" s="13"/>
    </row>
    <row r="636" spans="1:8" ht="14.25" x14ac:dyDescent="0.3">
      <c r="A636" s="301"/>
      <c r="B636" s="309"/>
      <c r="C636" s="301"/>
      <c r="D636" s="302"/>
      <c r="E636" s="447"/>
      <c r="F636" s="447"/>
      <c r="G636" s="13"/>
      <c r="H636" s="13"/>
    </row>
    <row r="637" spans="1:8" ht="14.25" x14ac:dyDescent="0.3">
      <c r="A637" s="301"/>
      <c r="B637" s="309"/>
      <c r="C637" s="301"/>
      <c r="D637" s="302"/>
      <c r="E637" s="447"/>
      <c r="F637" s="447"/>
      <c r="G637" s="13"/>
      <c r="H637" s="13"/>
    </row>
    <row r="638" spans="1:8" ht="13.5" x14ac:dyDescent="0.25">
      <c r="A638" s="299"/>
      <c r="B638" s="299"/>
      <c r="C638" s="299"/>
      <c r="D638" s="300"/>
      <c r="E638" s="448"/>
      <c r="F638" s="448"/>
      <c r="G638" s="13"/>
      <c r="H638" s="13"/>
    </row>
    <row r="639" spans="1:8" ht="14.25" x14ac:dyDescent="0.3">
      <c r="A639" s="301"/>
      <c r="B639" s="309"/>
      <c r="C639" s="301"/>
      <c r="D639" s="302"/>
      <c r="E639" s="447"/>
      <c r="F639" s="447"/>
      <c r="G639" s="13"/>
      <c r="H639" s="13"/>
    </row>
    <row r="640" spans="1:8" ht="14.25" x14ac:dyDescent="0.3">
      <c r="A640" s="301"/>
      <c r="B640" s="309"/>
      <c r="C640" s="301"/>
      <c r="D640" s="302"/>
      <c r="E640" s="447"/>
      <c r="F640" s="447"/>
      <c r="G640" s="13"/>
      <c r="H640" s="13"/>
    </row>
    <row r="641" spans="1:8" ht="14.25" x14ac:dyDescent="0.3">
      <c r="A641" s="301"/>
      <c r="B641" s="309"/>
      <c r="C641" s="301"/>
      <c r="D641" s="302"/>
      <c r="E641" s="447"/>
      <c r="F641" s="447"/>
      <c r="G641" s="13"/>
      <c r="H641" s="13"/>
    </row>
    <row r="642" spans="1:8" ht="14.25" x14ac:dyDescent="0.3">
      <c r="A642" s="301"/>
      <c r="B642" s="309"/>
      <c r="C642" s="301"/>
      <c r="D642" s="302"/>
      <c r="E642" s="447"/>
      <c r="F642" s="447"/>
      <c r="G642" s="13"/>
      <c r="H642" s="13"/>
    </row>
    <row r="643" spans="1:8" ht="13.5" x14ac:dyDescent="0.25">
      <c r="A643" s="299"/>
      <c r="B643" s="299"/>
      <c r="C643" s="299"/>
      <c r="D643" s="300"/>
      <c r="E643" s="448"/>
      <c r="F643" s="448"/>
      <c r="G643" s="13"/>
      <c r="H643" s="13"/>
    </row>
    <row r="644" spans="1:8" ht="14.25" x14ac:dyDescent="0.3">
      <c r="A644" s="301"/>
      <c r="B644" s="309"/>
      <c r="C644" s="301"/>
      <c r="D644" s="302"/>
      <c r="E644" s="447"/>
      <c r="F644" s="447"/>
      <c r="G644" s="13"/>
      <c r="H644" s="13"/>
    </row>
    <row r="645" spans="1:8" ht="14.25" x14ac:dyDescent="0.3">
      <c r="A645" s="301"/>
      <c r="B645" s="309"/>
      <c r="C645" s="301"/>
      <c r="D645" s="302"/>
      <c r="E645" s="447"/>
      <c r="F645" s="447"/>
      <c r="G645" s="13"/>
      <c r="H645" s="13"/>
    </row>
    <row r="646" spans="1:8" ht="14.25" x14ac:dyDescent="0.3">
      <c r="A646" s="301"/>
      <c r="B646" s="309"/>
      <c r="C646" s="301"/>
      <c r="D646" s="302"/>
      <c r="E646" s="447"/>
      <c r="F646" s="447"/>
      <c r="G646" s="13"/>
      <c r="H646" s="13"/>
    </row>
    <row r="647" spans="1:8" ht="14.25" x14ac:dyDescent="0.3">
      <c r="A647" s="301"/>
      <c r="B647" s="309"/>
      <c r="C647" s="301"/>
      <c r="D647" s="302"/>
      <c r="E647" s="447"/>
      <c r="F647" s="447"/>
      <c r="G647" s="13"/>
      <c r="H647" s="13"/>
    </row>
    <row r="648" spans="1:8" ht="13.5" x14ac:dyDescent="0.25">
      <c r="A648" s="299"/>
      <c r="B648" s="299"/>
      <c r="C648" s="299"/>
      <c r="D648" s="300"/>
      <c r="E648" s="448"/>
      <c r="F648" s="448"/>
      <c r="G648" s="13"/>
      <c r="H648" s="13"/>
    </row>
    <row r="649" spans="1:8" ht="14.25" x14ac:dyDescent="0.3">
      <c r="A649" s="301"/>
      <c r="B649" s="309"/>
      <c r="C649" s="301"/>
      <c r="D649" s="302"/>
      <c r="E649" s="447"/>
      <c r="F649" s="447"/>
      <c r="G649" s="13"/>
      <c r="H649" s="13"/>
    </row>
    <row r="650" spans="1:8" ht="14.25" x14ac:dyDescent="0.3">
      <c r="A650" s="301"/>
      <c r="B650" s="309"/>
      <c r="C650" s="301"/>
      <c r="D650" s="302"/>
      <c r="E650" s="447"/>
      <c r="F650" s="447"/>
      <c r="G650" s="13"/>
      <c r="H650" s="13"/>
    </row>
    <row r="651" spans="1:8" ht="14.25" x14ac:dyDescent="0.3">
      <c r="A651" s="301"/>
      <c r="B651" s="309"/>
      <c r="C651" s="301"/>
      <c r="D651" s="302"/>
      <c r="E651" s="447"/>
      <c r="F651" s="447"/>
      <c r="G651" s="13"/>
      <c r="H651" s="13"/>
    </row>
    <row r="652" spans="1:8" ht="14.25" x14ac:dyDescent="0.3">
      <c r="A652" s="301"/>
      <c r="B652" s="309"/>
      <c r="C652" s="301"/>
      <c r="D652" s="302"/>
      <c r="E652" s="447"/>
      <c r="F652" s="447"/>
      <c r="G652" s="13"/>
      <c r="H652" s="13"/>
    </row>
    <row r="653" spans="1:8" ht="13.5" x14ac:dyDescent="0.25">
      <c r="A653" s="299"/>
      <c r="B653" s="299"/>
      <c r="C653" s="299"/>
      <c r="D653" s="300"/>
      <c r="E653" s="448"/>
      <c r="F653" s="448"/>
      <c r="G653" s="13"/>
      <c r="H653" s="13"/>
    </row>
    <row r="654" spans="1:8" ht="14.25" x14ac:dyDescent="0.3">
      <c r="A654" s="301"/>
      <c r="B654" s="309"/>
      <c r="C654" s="301"/>
      <c r="D654" s="302"/>
      <c r="E654" s="447"/>
      <c r="F654" s="447"/>
      <c r="G654" s="13"/>
      <c r="H654" s="13"/>
    </row>
    <row r="655" spans="1:8" ht="14.25" x14ac:dyDescent="0.3">
      <c r="A655" s="301"/>
      <c r="B655" s="309"/>
      <c r="C655" s="301"/>
      <c r="D655" s="302"/>
      <c r="E655" s="447"/>
      <c r="F655" s="447"/>
      <c r="G655" s="13"/>
      <c r="H655" s="13"/>
    </row>
    <row r="656" spans="1:8" ht="14.25" x14ac:dyDescent="0.3">
      <c r="A656" s="301"/>
      <c r="B656" s="309"/>
      <c r="C656" s="301"/>
      <c r="D656" s="302"/>
      <c r="E656" s="447"/>
      <c r="F656" s="447"/>
      <c r="G656" s="13"/>
      <c r="H656" s="13"/>
    </row>
    <row r="657" spans="1:8" ht="14.25" x14ac:dyDescent="0.3">
      <c r="A657" s="301"/>
      <c r="B657" s="309"/>
      <c r="C657" s="301"/>
      <c r="D657" s="302"/>
      <c r="E657" s="447"/>
      <c r="F657" s="447"/>
      <c r="G657" s="13"/>
      <c r="H657" s="13"/>
    </row>
    <row r="658" spans="1:8" ht="13.5" x14ac:dyDescent="0.25">
      <c r="A658" s="299"/>
      <c r="B658" s="299"/>
      <c r="C658" s="299"/>
      <c r="D658" s="300"/>
      <c r="E658" s="448"/>
      <c r="F658" s="448"/>
      <c r="G658" s="13"/>
      <c r="H658" s="13"/>
    </row>
    <row r="659" spans="1:8" ht="14.25" x14ac:dyDescent="0.3">
      <c r="A659" s="301"/>
      <c r="B659" s="309"/>
      <c r="C659" s="301"/>
      <c r="D659" s="302"/>
      <c r="E659" s="447"/>
      <c r="F659" s="447"/>
      <c r="G659" s="13"/>
      <c r="H659" s="13"/>
    </row>
    <row r="660" spans="1:8" ht="14.25" x14ac:dyDescent="0.3">
      <c r="A660" s="301"/>
      <c r="B660" s="309"/>
      <c r="C660" s="301"/>
      <c r="D660" s="302"/>
      <c r="E660" s="447"/>
      <c r="F660" s="447"/>
      <c r="G660" s="13"/>
      <c r="H660" s="13"/>
    </row>
    <row r="661" spans="1:8" ht="14.25" x14ac:dyDescent="0.3">
      <c r="A661" s="301"/>
      <c r="B661" s="309"/>
      <c r="C661" s="301"/>
      <c r="D661" s="302"/>
      <c r="E661" s="447"/>
      <c r="F661" s="447"/>
      <c r="G661" s="13"/>
      <c r="H661" s="13"/>
    </row>
    <row r="662" spans="1:8" ht="14.25" x14ac:dyDescent="0.3">
      <c r="A662" s="301"/>
      <c r="B662" s="309"/>
      <c r="C662" s="301"/>
      <c r="D662" s="302"/>
      <c r="E662" s="447"/>
      <c r="F662" s="447"/>
      <c r="G662" s="13"/>
      <c r="H662" s="13"/>
    </row>
    <row r="663" spans="1:8" ht="13.5" x14ac:dyDescent="0.25">
      <c r="A663" s="299"/>
      <c r="B663" s="299"/>
      <c r="C663" s="299"/>
      <c r="D663" s="300"/>
      <c r="E663" s="448"/>
      <c r="F663" s="448"/>
      <c r="G663" s="13"/>
      <c r="H663" s="13"/>
    </row>
    <row r="664" spans="1:8" ht="14.25" x14ac:dyDescent="0.3">
      <c r="A664" s="301"/>
      <c r="B664" s="309"/>
      <c r="C664" s="301"/>
      <c r="D664" s="302"/>
      <c r="E664" s="447"/>
      <c r="F664" s="447"/>
      <c r="G664" s="13"/>
      <c r="H664" s="13"/>
    </row>
    <row r="665" spans="1:8" ht="14.25" x14ac:dyDescent="0.3">
      <c r="A665" s="301"/>
      <c r="B665" s="309"/>
      <c r="C665" s="301"/>
      <c r="D665" s="302"/>
      <c r="E665" s="447"/>
      <c r="F665" s="447"/>
      <c r="G665" s="13"/>
      <c r="H665" s="13"/>
    </row>
    <row r="666" spans="1:8" ht="14.25" x14ac:dyDescent="0.3">
      <c r="A666" s="301"/>
      <c r="B666" s="309"/>
      <c r="C666" s="301"/>
      <c r="D666" s="302"/>
      <c r="E666" s="447"/>
      <c r="F666" s="447"/>
      <c r="G666" s="13"/>
      <c r="H666" s="13"/>
    </row>
    <row r="667" spans="1:8" ht="14.25" x14ac:dyDescent="0.3">
      <c r="A667" s="301"/>
      <c r="B667" s="309"/>
      <c r="C667" s="301"/>
      <c r="D667" s="302"/>
      <c r="E667" s="447"/>
      <c r="F667" s="447"/>
      <c r="G667" s="13"/>
      <c r="H667" s="13"/>
    </row>
    <row r="668" spans="1:8" x14ac:dyDescent="0.25">
      <c r="E668" s="447"/>
      <c r="F668" s="447"/>
      <c r="G668" s="13"/>
      <c r="H668" s="13"/>
    </row>
  </sheetData>
  <phoneticPr fontId="0" type="noConversion"/>
  <conditionalFormatting sqref="A134">
    <cfRule type="expression" dxfId="122" priority="1" stopIfTrue="1">
      <formula>$AN134&gt;0</formula>
    </cfRule>
    <cfRule type="expression" dxfId="121" priority="2" stopIfTrue="1">
      <formula>IF(OR(LEFT(B134,1)=" ",ISBLANK(B134)),TRUE,FALSE)</formula>
    </cfRule>
  </conditionalFormatting>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tabSelected="1" zoomScaleNormal="100" workbookViewId="0">
      <pane xSplit="8" ySplit="10" topLeftCell="I35" activePane="bottomRight" state="frozen"/>
      <selection activeCell="G8" sqref="G8"/>
      <selection pane="topRight" activeCell="G8" sqref="G8"/>
      <selection pane="bottomLeft" activeCell="G8" sqref="G8"/>
      <selection pane="bottomRight" activeCell="Q40" sqref="Q40"/>
    </sheetView>
  </sheetViews>
  <sheetFormatPr defaultRowHeight="12.75" x14ac:dyDescent="0.25"/>
  <cols>
    <col min="1" max="1" width="0.140625" style="334" hidden="1" customWidth="1"/>
    <col min="2" max="2" width="3.85546875" style="334" hidden="1" customWidth="1"/>
    <col min="3" max="5" width="9" style="334" hidden="1" customWidth="1"/>
    <col min="6" max="6" width="27.28515625" style="334" hidden="1" customWidth="1"/>
    <col min="7" max="7" width="3.5703125" style="334" customWidth="1"/>
    <col min="8" max="9" width="9.140625" style="334"/>
    <col min="10" max="10" width="13.42578125" style="334" customWidth="1"/>
    <col min="11" max="11" width="13.7109375" style="334" customWidth="1"/>
    <col min="12" max="12" width="20.42578125" style="334" customWidth="1"/>
    <col min="13" max="13" width="6.140625" style="334" customWidth="1"/>
    <col min="14" max="14" width="6.5703125" style="334" customWidth="1"/>
    <col min="15" max="15" width="9.140625" style="334"/>
    <col min="16" max="16" width="14.42578125" style="334" customWidth="1"/>
    <col min="17" max="17" width="11.5703125" style="334" customWidth="1"/>
    <col min="18" max="18" width="20.42578125" style="334" customWidth="1"/>
    <col min="19" max="19" width="6.140625" style="334" customWidth="1"/>
    <col min="20" max="20" width="6.5703125" style="334" customWidth="1"/>
    <col min="21" max="21" width="9.140625" style="334"/>
    <col min="22" max="22" width="14.42578125" style="334" customWidth="1"/>
    <col min="23" max="23" width="11.5703125" style="334" customWidth="1"/>
    <col min="24" max="24" width="20.42578125" style="334" customWidth="1"/>
    <col min="25" max="25" width="6.140625" style="334" customWidth="1"/>
    <col min="26" max="26" width="6.5703125" style="334"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34" bestFit="1" customWidth="1"/>
    <col min="35" max="37" width="8.140625" style="334" customWidth="1"/>
    <col min="38" max="38" width="34.7109375" style="334" customWidth="1"/>
    <col min="39" max="39" width="9.140625" style="334"/>
    <col min="40" max="40" width="7.7109375" style="334" customWidth="1"/>
    <col min="41" max="44" width="8.42578125" style="334" customWidth="1"/>
    <col min="45" max="45" width="9.140625" style="334"/>
    <col min="46" max="57" width="0.140625" style="334" customWidth="1"/>
    <col min="58" max="16384" width="9.140625" style="334"/>
  </cols>
  <sheetData>
    <row r="1" spans="1:59" ht="32.25" thickBot="1" x14ac:dyDescent="0.45">
      <c r="A1" s="317"/>
      <c r="B1" s="317"/>
      <c r="C1" s="317"/>
      <c r="D1" s="317"/>
      <c r="E1" s="317"/>
      <c r="F1" s="317"/>
      <c r="G1" s="317"/>
      <c r="H1" s="318" t="s">
        <v>842</v>
      </c>
      <c r="I1" s="319" t="s">
        <v>1010</v>
      </c>
      <c r="J1" s="320"/>
      <c r="K1" s="320"/>
      <c r="L1" s="320"/>
      <c r="M1" s="321"/>
      <c r="N1" s="321"/>
      <c r="O1" s="321"/>
      <c r="P1" s="321"/>
      <c r="Q1" s="317"/>
      <c r="R1" s="322" t="s">
        <v>772</v>
      </c>
      <c r="S1" s="323">
        <f>'Kvalita turnaje'!$F$1</f>
        <v>36.722812499999996</v>
      </c>
      <c r="T1" s="324"/>
      <c r="U1" s="317"/>
      <c r="V1" s="317"/>
      <c r="W1" s="325"/>
      <c r="X1" s="325" t="s">
        <v>906</v>
      </c>
      <c r="Y1" s="326"/>
      <c r="Z1" s="317"/>
      <c r="AA1" s="4"/>
      <c r="AB1" s="4"/>
      <c r="AC1" s="4"/>
      <c r="AD1" s="4"/>
      <c r="AE1" s="4"/>
      <c r="AF1" s="4"/>
      <c r="AG1" s="4"/>
      <c r="AH1" s="327"/>
      <c r="AI1" s="328"/>
      <c r="AJ1" s="317"/>
      <c r="AK1" s="329"/>
      <c r="AL1" s="322">
        <v>6</v>
      </c>
      <c r="AM1" s="330">
        <f t="shared" ref="AM1:AM7" si="0">CHOOSE($Y$2,AW1,AX1,AY1,AZ1,BA1,BB1)</f>
        <v>0</v>
      </c>
      <c r="AN1" s="329" t="s">
        <v>895</v>
      </c>
      <c r="AO1" s="317"/>
      <c r="AP1" s="317"/>
      <c r="AQ1" s="317"/>
      <c r="AR1" s="317"/>
      <c r="AS1" s="317"/>
      <c r="AT1" s="317"/>
      <c r="AU1" s="317"/>
      <c r="AV1" s="331"/>
      <c r="AW1" s="332"/>
      <c r="AX1" s="332"/>
      <c r="AY1" s="332"/>
      <c r="AZ1" s="332"/>
      <c r="BA1" s="332"/>
      <c r="BB1" s="332">
        <f>BA2/2</f>
        <v>0.8125</v>
      </c>
      <c r="BC1" s="333">
        <v>6</v>
      </c>
      <c r="BG1" s="334">
        <f>5+128+128+128+128</f>
        <v>517</v>
      </c>
    </row>
    <row r="2" spans="1:59" ht="18.75" thickBot="1" x14ac:dyDescent="0.3">
      <c r="A2" s="317"/>
      <c r="B2" s="317"/>
      <c r="C2" s="317"/>
      <c r="D2" s="317"/>
      <c r="E2" s="317"/>
      <c r="F2" s="317"/>
      <c r="G2" s="317"/>
      <c r="H2" s="335"/>
      <c r="I2" s="336" t="s">
        <v>1029</v>
      </c>
      <c r="J2" s="337"/>
      <c r="K2" s="338">
        <f>IF(Internet!$E$1=0,Turnaje!A4,Internet!$E$1)</f>
        <v>16040</v>
      </c>
      <c r="M2" s="331" t="s">
        <v>769</v>
      </c>
      <c r="N2" s="339" t="str">
        <f>IF(AND(S1&gt;=40,OR(AND(K6=2,K7&gt;=48),AND(K6=3,K7&gt;=32),AND(K6=1,K7&gt;=64))),"P","R")</f>
        <v>R</v>
      </c>
      <c r="O2" s="317"/>
      <c r="P2" s="317"/>
      <c r="Q2" s="317"/>
      <c r="R2" s="322" t="s">
        <v>770</v>
      </c>
      <c r="S2" s="324">
        <f>IF(TYPE(VLOOKUP(Start.listina!N2,Bonusy!A4:B8,2,0))&gt;3,0,VLOOKUP(Start.listina!N2,Bonusy!A4:B8,2,0))</f>
        <v>0</v>
      </c>
      <c r="T2" s="324"/>
      <c r="U2" s="317"/>
      <c r="V2" s="317"/>
      <c r="W2" s="322"/>
      <c r="X2" s="322" t="s">
        <v>877</v>
      </c>
      <c r="Y2" s="340">
        <v>4</v>
      </c>
      <c r="Z2" s="317"/>
      <c r="AA2" s="4"/>
      <c r="AB2" s="4"/>
      <c r="AC2" s="4"/>
      <c r="AD2" s="4"/>
      <c r="AE2" s="4"/>
      <c r="AF2" s="4"/>
      <c r="AG2" s="4"/>
      <c r="AH2" s="317"/>
      <c r="AI2" s="328"/>
      <c r="AJ2" s="317"/>
      <c r="AK2" s="317"/>
      <c r="AL2" s="322">
        <v>5</v>
      </c>
      <c r="AM2" s="330">
        <f t="shared" si="0"/>
        <v>0</v>
      </c>
      <c r="AN2" s="317"/>
      <c r="AO2" s="317"/>
      <c r="AP2" s="317"/>
      <c r="AQ2" s="317"/>
      <c r="AR2" s="317"/>
      <c r="AS2" s="317"/>
      <c r="AT2" s="317"/>
      <c r="AU2" s="317"/>
      <c r="AV2" s="317"/>
      <c r="AW2" s="332"/>
      <c r="AX2" s="332"/>
      <c r="AY2" s="332"/>
      <c r="AZ2" s="332"/>
      <c r="BA2" s="332">
        <f>AZ3/2</f>
        <v>1.625</v>
      </c>
      <c r="BB2" s="332">
        <f>BA2/2+BA3/2</f>
        <v>4.875</v>
      </c>
      <c r="BC2" s="333">
        <v>5</v>
      </c>
    </row>
    <row r="3" spans="1:59" ht="18.75" thickBot="1" x14ac:dyDescent="0.3">
      <c r="A3" s="317"/>
      <c r="B3" s="317"/>
      <c r="C3" s="317"/>
      <c r="D3" s="317"/>
      <c r="E3" s="317"/>
      <c r="F3" s="317"/>
      <c r="G3" s="317"/>
      <c r="H3" s="335"/>
      <c r="I3" s="341" t="s">
        <v>1021</v>
      </c>
      <c r="J3" s="337"/>
      <c r="K3" s="342" t="str">
        <f>IF(ISBLANK(K2)," ",VLOOKUP(K2,Turnaje!$A$1:$G$147,3,0))</f>
        <v>16.07.2016</v>
      </c>
      <c r="L3" s="317"/>
      <c r="M3" s="331"/>
      <c r="N3" s="331"/>
      <c r="O3" s="317"/>
      <c r="P3" s="317"/>
      <c r="Q3" s="317"/>
      <c r="R3" s="322" t="s">
        <v>771</v>
      </c>
      <c r="S3" s="324">
        <f>IF(TYPE(VLOOKUP(Start.listina!N2,Paušál!A4:B7,2,0))&gt;3,0,VLOOKUP(Start.listina!N2,Paušál!A4:B7,2,0))</f>
        <v>1</v>
      </c>
      <c r="T3" s="324"/>
      <c r="U3" s="317"/>
      <c r="V3" s="317"/>
      <c r="W3" s="322"/>
      <c r="X3" s="322" t="s">
        <v>878</v>
      </c>
      <c r="Y3" s="340"/>
      <c r="Z3" s="317"/>
      <c r="AA3" s="4"/>
      <c r="AB3" s="4"/>
      <c r="AC3" s="4"/>
      <c r="AD3" s="4"/>
      <c r="AE3" s="4"/>
      <c r="AF3" s="4"/>
      <c r="AG3" s="4"/>
      <c r="AH3" s="317"/>
      <c r="AI3" s="328"/>
      <c r="AJ3" s="317"/>
      <c r="AK3" s="317"/>
      <c r="AL3" s="322">
        <v>4</v>
      </c>
      <c r="AM3" s="330">
        <f t="shared" si="0"/>
        <v>3.25</v>
      </c>
      <c r="AN3" s="317"/>
      <c r="AO3" s="317"/>
      <c r="AP3" s="317"/>
      <c r="AQ3" s="317"/>
      <c r="AR3" s="317"/>
      <c r="AS3" s="317"/>
      <c r="AT3" s="317"/>
      <c r="AU3" s="317"/>
      <c r="AV3" s="317"/>
      <c r="AW3" s="332"/>
      <c r="AX3" s="332"/>
      <c r="AY3" s="332"/>
      <c r="AZ3" s="332">
        <f>AY4/2</f>
        <v>3.25</v>
      </c>
      <c r="BA3" s="332">
        <f>AZ3/2+AZ4/2</f>
        <v>8.125</v>
      </c>
      <c r="BB3" s="332">
        <f>BA3/2+BA4/2</f>
        <v>12.1875</v>
      </c>
      <c r="BC3" s="333">
        <v>4</v>
      </c>
    </row>
    <row r="4" spans="1:59" ht="19.5" thickBot="1" x14ac:dyDescent="0.35">
      <c r="A4" s="317"/>
      <c r="B4" s="317"/>
      <c r="C4" s="317"/>
      <c r="D4" s="317"/>
      <c r="E4" s="317"/>
      <c r="F4" s="317"/>
      <c r="G4" s="317"/>
      <c r="H4" s="335"/>
      <c r="I4" s="343" t="s">
        <v>1022</v>
      </c>
      <c r="J4" s="344"/>
      <c r="K4" s="345" t="str">
        <f>IF(ISBLANK(K2)," ",VLOOKUP(K2,Turnaje!$A$1:$G$147,2,0))</f>
        <v>Memoriál CdP Loděnice</v>
      </c>
      <c r="L4" s="346"/>
      <c r="M4" s="346"/>
      <c r="N4" s="347"/>
      <c r="O4" s="317"/>
      <c r="P4" s="348">
        <v>0</v>
      </c>
      <c r="Q4" s="317"/>
      <c r="R4" s="322" t="s">
        <v>1011</v>
      </c>
      <c r="S4" s="324">
        <f>'Počet kol'!$D$3</f>
        <v>6</v>
      </c>
      <c r="T4" s="324"/>
      <c r="U4" s="317"/>
      <c r="V4" s="317"/>
      <c r="W4" s="322"/>
      <c r="X4" s="322" t="s">
        <v>1015</v>
      </c>
      <c r="Y4" s="349">
        <v>16</v>
      </c>
      <c r="Z4" s="324" t="s">
        <v>905</v>
      </c>
      <c r="AA4" s="4"/>
      <c r="AB4" s="4"/>
      <c r="AC4" s="4"/>
      <c r="AD4" s="4"/>
      <c r="AE4" s="4"/>
      <c r="AF4" s="4"/>
      <c r="AG4" s="4"/>
      <c r="AH4" s="317"/>
      <c r="AI4" s="328"/>
      <c r="AJ4" s="317"/>
      <c r="AK4" s="317"/>
      <c r="AL4" s="322">
        <v>3</v>
      </c>
      <c r="AM4" s="330">
        <f t="shared" si="0"/>
        <v>13</v>
      </c>
      <c r="AN4" s="317"/>
      <c r="AO4" s="317"/>
      <c r="AP4" s="317"/>
      <c r="AQ4" s="317"/>
      <c r="AR4" s="317"/>
      <c r="AS4" s="317"/>
      <c r="AT4" s="317"/>
      <c r="AU4" s="317"/>
      <c r="AV4" s="317"/>
      <c r="AW4" s="332"/>
      <c r="AX4" s="332"/>
      <c r="AY4" s="332">
        <f>AX5/2</f>
        <v>6.5</v>
      </c>
      <c r="AZ4" s="332">
        <f>AY4/2+AY5/2</f>
        <v>13</v>
      </c>
      <c r="BA4" s="332">
        <f>AZ4/2+AZ5/2</f>
        <v>16.25</v>
      </c>
      <c r="BB4" s="332">
        <f>BA4/2+BA5/2</f>
        <v>16.25</v>
      </c>
      <c r="BC4" s="333">
        <v>3</v>
      </c>
    </row>
    <row r="5" spans="1:59" ht="18" customHeight="1" thickBot="1" x14ac:dyDescent="0.3">
      <c r="A5" s="350"/>
      <c r="B5" s="350"/>
      <c r="C5" s="350"/>
      <c r="D5" s="350"/>
      <c r="E5" s="350"/>
      <c r="F5" s="350"/>
      <c r="G5" s="317"/>
      <c r="H5" s="335"/>
      <c r="I5" s="336" t="s">
        <v>1023</v>
      </c>
      <c r="J5" s="351"/>
      <c r="K5" s="352" t="str">
        <f>IF(ISBLANK(K2)," ",VLOOKUP(K2,Turnaje!$A$1:$G$147,4,0))</f>
        <v>Loděnice</v>
      </c>
      <c r="L5" s="353"/>
      <c r="M5" s="354"/>
      <c r="N5" s="347"/>
      <c r="O5" s="317"/>
      <c r="P5" s="473">
        <v>1</v>
      </c>
      <c r="Q5" s="317"/>
      <c r="R5" s="322" t="s">
        <v>874</v>
      </c>
      <c r="S5" s="355">
        <f>Y2*U5/60</f>
        <v>5</v>
      </c>
      <c r="T5" s="324" t="s">
        <v>1012</v>
      </c>
      <c r="U5" s="349">
        <v>75</v>
      </c>
      <c r="V5" s="324" t="s">
        <v>1013</v>
      </c>
      <c r="W5" s="322"/>
      <c r="X5" s="356" t="s">
        <v>907</v>
      </c>
      <c r="Y5" s="357"/>
      <c r="Z5" s="317"/>
      <c r="AA5" s="4"/>
      <c r="AB5" s="4"/>
      <c r="AC5" s="4"/>
      <c r="AD5" s="4"/>
      <c r="AE5" s="4"/>
      <c r="AF5" s="4"/>
      <c r="AG5" s="4"/>
      <c r="AH5" s="317"/>
      <c r="AI5" s="328"/>
      <c r="AJ5" s="317"/>
      <c r="AK5" s="317"/>
      <c r="AL5" s="322">
        <v>2</v>
      </c>
      <c r="AM5" s="330">
        <f t="shared" si="0"/>
        <v>19.5</v>
      </c>
      <c r="AN5" s="317"/>
      <c r="AO5" s="317"/>
      <c r="AP5" s="317"/>
      <c r="AQ5" s="317"/>
      <c r="AR5" s="317"/>
      <c r="AS5" s="317"/>
      <c r="AT5" s="317"/>
      <c r="AU5" s="317"/>
      <c r="AV5" s="317"/>
      <c r="AW5" s="332"/>
      <c r="AX5" s="332">
        <f>AW6/2</f>
        <v>13</v>
      </c>
      <c r="AY5" s="332">
        <f>AX6/2+AX5/2</f>
        <v>19.5</v>
      </c>
      <c r="AZ5" s="332">
        <f>AY5/2+AY6/2</f>
        <v>19.5</v>
      </c>
      <c r="BA5" s="332">
        <f>AZ5/2+AZ6/2</f>
        <v>16.25</v>
      </c>
      <c r="BB5" s="332">
        <f>BA5/2+BA6/2</f>
        <v>12.1875</v>
      </c>
      <c r="BC5" s="333">
        <v>2</v>
      </c>
    </row>
    <row r="6" spans="1:59" ht="19.5" thickBot="1" x14ac:dyDescent="0.35">
      <c r="A6" s="358"/>
      <c r="B6" s="358"/>
      <c r="C6" s="358"/>
      <c r="D6" s="358"/>
      <c r="E6" s="358"/>
      <c r="F6" s="359"/>
      <c r="G6" s="317"/>
      <c r="H6" s="335"/>
      <c r="I6" s="336" t="s">
        <v>1034</v>
      </c>
      <c r="J6" s="351"/>
      <c r="K6" s="360">
        <f>IF(ISBLANK(K2)," ",VLOOKUP(K2,Turnaje!$A$1:$G$147,6,0))</f>
        <v>2</v>
      </c>
      <c r="L6" s="361" t="s">
        <v>857</v>
      </c>
      <c r="M6" s="362">
        <v>1</v>
      </c>
      <c r="N6" s="363">
        <f>IF(TYPE((K7-M7*N7)/M6)&gt;3,"",(K7-M7*N7)/M6)</f>
        <v>1</v>
      </c>
      <c r="O6" s="317"/>
      <c r="P6" s="317"/>
      <c r="Q6" s="317"/>
      <c r="R6" s="322" t="s">
        <v>1014</v>
      </c>
      <c r="S6" s="355">
        <f>IF(Y4=0,0,ROUNDUP(LOG(Y4,2),0)*U5/60)</f>
        <v>5</v>
      </c>
      <c r="T6" s="324" t="s">
        <v>1012</v>
      </c>
      <c r="U6" s="364">
        <v>1</v>
      </c>
      <c r="V6" s="324" t="s">
        <v>965</v>
      </c>
      <c r="W6" s="322"/>
      <c r="X6" s="322" t="s">
        <v>875</v>
      </c>
      <c r="Y6" s="357" t="s">
        <v>957</v>
      </c>
      <c r="Z6" s="317"/>
      <c r="AA6" s="4"/>
      <c r="AB6" s="4"/>
      <c r="AC6" s="4"/>
      <c r="AD6" s="4"/>
      <c r="AE6" s="4"/>
      <c r="AF6" s="4"/>
      <c r="AG6" s="4"/>
      <c r="AH6" s="317"/>
      <c r="AI6" s="328"/>
      <c r="AJ6" s="324"/>
      <c r="AK6" s="317"/>
      <c r="AL6" s="322">
        <v>1</v>
      </c>
      <c r="AM6" s="330">
        <f t="shared" si="0"/>
        <v>13</v>
      </c>
      <c r="AN6" s="317"/>
      <c r="AO6" s="317"/>
      <c r="AP6" s="317"/>
      <c r="AQ6" s="317"/>
      <c r="AR6" s="317"/>
      <c r="AS6" s="317"/>
      <c r="AT6" s="317"/>
      <c r="AU6" s="317"/>
      <c r="AV6" s="317"/>
      <c r="AW6" s="332">
        <f>$AV$9/2</f>
        <v>26</v>
      </c>
      <c r="AX6" s="332">
        <f>AW6/2+AW7/2</f>
        <v>26</v>
      </c>
      <c r="AY6" s="332">
        <f>AX6/2+AX7/2</f>
        <v>19.5</v>
      </c>
      <c r="AZ6" s="332">
        <f>AY6/2+AY7/2</f>
        <v>13</v>
      </c>
      <c r="BA6" s="332">
        <f>AZ6/2+AZ7/2</f>
        <v>8.125</v>
      </c>
      <c r="BB6" s="332">
        <f>BA6/2+BA7/2</f>
        <v>4.875</v>
      </c>
      <c r="BC6" s="333">
        <v>1</v>
      </c>
    </row>
    <row r="7" spans="1:59" ht="20.25" thickTop="1" thickBot="1" x14ac:dyDescent="0.35">
      <c r="A7" s="358"/>
      <c r="B7" s="358"/>
      <c r="C7" s="358"/>
      <c r="D7" s="358"/>
      <c r="E7" s="358"/>
      <c r="F7" s="359"/>
      <c r="G7" s="317"/>
      <c r="H7" s="335"/>
      <c r="I7" s="336" t="s">
        <v>1024</v>
      </c>
      <c r="J7" s="351"/>
      <c r="K7" s="360">
        <f>SUM(B11:B138)</f>
        <v>51</v>
      </c>
      <c r="L7" s="361" t="s">
        <v>937</v>
      </c>
      <c r="M7" s="362">
        <v>2</v>
      </c>
      <c r="N7" s="363">
        <f>INT(K7/M7)</f>
        <v>25</v>
      </c>
      <c r="O7" s="365">
        <f>IF(TYPE(N6+N7)&gt;3,"",N6+N7)</f>
        <v>26</v>
      </c>
      <c r="P7" s="317" t="s">
        <v>858</v>
      </c>
      <c r="Q7" s="317"/>
      <c r="R7" s="322" t="s">
        <v>1016</v>
      </c>
      <c r="S7" s="324">
        <f>INT(M7/2)*N7+INT(M6/2)*N6</f>
        <v>25</v>
      </c>
      <c r="T7" s="317"/>
      <c r="U7" s="317"/>
      <c r="V7" s="317"/>
      <c r="W7" s="322"/>
      <c r="X7" s="366" t="s">
        <v>876</v>
      </c>
      <c r="Y7" s="357">
        <v>2</v>
      </c>
      <c r="Z7" s="317"/>
      <c r="AA7" s="4"/>
      <c r="AB7" s="4"/>
      <c r="AC7" s="4"/>
      <c r="AD7" s="4"/>
      <c r="AE7" s="4"/>
      <c r="AF7" s="4"/>
      <c r="AG7" s="4"/>
      <c r="AH7" s="317"/>
      <c r="AI7" s="328"/>
      <c r="AJ7" s="317"/>
      <c r="AM7" s="330">
        <f t="shared" si="0"/>
        <v>3.25</v>
      </c>
      <c r="AN7" s="317"/>
      <c r="AO7" s="317"/>
      <c r="AP7" s="317"/>
      <c r="AQ7" s="317"/>
      <c r="AR7" s="317"/>
      <c r="AS7" s="317"/>
      <c r="AT7" s="317"/>
      <c r="AU7" s="317"/>
      <c r="AV7" s="317"/>
      <c r="AW7" s="367">
        <f>$AV$9/2</f>
        <v>26</v>
      </c>
      <c r="AX7" s="367">
        <f>AW7/2</f>
        <v>13</v>
      </c>
      <c r="AY7" s="367">
        <f>AX7/2</f>
        <v>6.5</v>
      </c>
      <c r="AZ7" s="367">
        <f>AY7/2</f>
        <v>3.25</v>
      </c>
      <c r="BA7" s="367">
        <f>AZ7/2</f>
        <v>1.625</v>
      </c>
      <c r="BB7" s="367">
        <f>BA7/2</f>
        <v>0.8125</v>
      </c>
      <c r="BC7" s="333">
        <v>0</v>
      </c>
    </row>
    <row r="8" spans="1:59" ht="18" thickTop="1" thickBot="1" x14ac:dyDescent="0.35">
      <c r="A8" s="358"/>
      <c r="B8" s="358"/>
      <c r="C8" s="358"/>
      <c r="D8" s="358"/>
      <c r="E8" s="358"/>
      <c r="F8" s="359"/>
      <c r="G8" s="317"/>
      <c r="H8" s="317"/>
      <c r="I8" s="317"/>
      <c r="J8" s="368"/>
      <c r="K8" s="317"/>
      <c r="L8" s="317"/>
      <c r="M8" s="322"/>
      <c r="N8" s="322"/>
      <c r="O8" s="317"/>
      <c r="P8" s="317"/>
      <c r="Q8" s="317"/>
      <c r="R8" s="317"/>
      <c r="S8" s="317"/>
      <c r="T8" s="324"/>
      <c r="U8" s="317"/>
      <c r="V8" s="317"/>
      <c r="W8" s="322"/>
      <c r="X8" s="356" t="s">
        <v>896</v>
      </c>
      <c r="Y8" s="357"/>
      <c r="Z8" s="317"/>
      <c r="AA8" s="4"/>
      <c r="AB8" s="4"/>
      <c r="AC8" s="4"/>
      <c r="AD8" s="4"/>
      <c r="AE8" s="4"/>
      <c r="AF8" s="4"/>
      <c r="AG8" s="4"/>
      <c r="AH8" s="317"/>
      <c r="AI8" s="369" t="s">
        <v>894</v>
      </c>
      <c r="AJ8" s="324">
        <f>$AU$9</f>
        <v>12</v>
      </c>
      <c r="AK8" s="317"/>
      <c r="AL8" s="322" t="s">
        <v>1045</v>
      </c>
      <c r="AM8" s="328">
        <f>SUM(AM1:AM7)</f>
        <v>52</v>
      </c>
      <c r="AN8" s="317"/>
      <c r="AO8" s="317"/>
      <c r="AP8" s="317"/>
      <c r="AQ8" s="317"/>
      <c r="AR8" s="317"/>
      <c r="AS8" s="317"/>
      <c r="AT8" s="317"/>
      <c r="AU8" s="317"/>
      <c r="AW8" s="370">
        <v>1</v>
      </c>
      <c r="AX8" s="371">
        <v>2</v>
      </c>
      <c r="AY8" s="371">
        <v>3</v>
      </c>
      <c r="AZ8" s="371">
        <v>4</v>
      </c>
      <c r="BA8" s="371">
        <v>5</v>
      </c>
      <c r="BB8" s="372">
        <v>6</v>
      </c>
      <c r="BC8" s="333"/>
    </row>
    <row r="9" spans="1:59" ht="13.5" thickBot="1" x14ac:dyDescent="0.3">
      <c r="A9" s="358">
        <v>7</v>
      </c>
      <c r="B9" s="358"/>
      <c r="C9" s="358"/>
      <c r="D9" s="358"/>
      <c r="E9" s="358"/>
      <c r="F9" s="359"/>
      <c r="G9" s="373">
        <f ca="1">Centrum!$AE$1</f>
        <v>0</v>
      </c>
      <c r="H9" s="317"/>
      <c r="I9" s="374" t="s">
        <v>1030</v>
      </c>
      <c r="J9" s="375" t="s">
        <v>838</v>
      </c>
      <c r="K9" s="376"/>
      <c r="L9" s="376"/>
      <c r="M9" s="376"/>
      <c r="N9" s="376"/>
      <c r="O9" s="377" t="s">
        <v>1031</v>
      </c>
      <c r="P9" s="317"/>
      <c r="Q9" s="317"/>
      <c r="R9" s="317"/>
      <c r="S9" s="317"/>
      <c r="T9" s="317"/>
      <c r="U9" s="378" t="s">
        <v>1032</v>
      </c>
      <c r="V9" s="317"/>
      <c r="W9" s="317"/>
      <c r="X9" s="324" t="s">
        <v>829</v>
      </c>
      <c r="Y9" s="364" t="s">
        <v>828</v>
      </c>
      <c r="Z9" s="317"/>
      <c r="AA9" s="7" t="s">
        <v>833</v>
      </c>
      <c r="AB9" s="4" t="s">
        <v>834</v>
      </c>
      <c r="AC9" s="4"/>
      <c r="AD9" s="4"/>
      <c r="AE9" s="4"/>
      <c r="AF9" s="4"/>
      <c r="AG9" s="4"/>
      <c r="AH9" s="317"/>
      <c r="AI9" s="369" t="s">
        <v>893</v>
      </c>
      <c r="AJ9" s="324">
        <f>$AT$9</f>
        <v>3</v>
      </c>
      <c r="AK9" s="317"/>
      <c r="AL9" s="317"/>
      <c r="AM9" s="328"/>
      <c r="AN9" s="328"/>
      <c r="AO9" s="317"/>
      <c r="AP9" s="317"/>
      <c r="AQ9" s="317"/>
      <c r="AR9" s="317"/>
      <c r="AS9" s="317"/>
      <c r="AT9" s="333">
        <f>SUM(AT11:AT138)</f>
        <v>3</v>
      </c>
      <c r="AU9" s="333">
        <f>SUM(AU11:AU138)</f>
        <v>12</v>
      </c>
      <c r="AV9" s="317">
        <f>IF(MOD(K7,2)=1,K7+1,K7)</f>
        <v>52</v>
      </c>
      <c r="AW9" s="333">
        <f t="shared" ref="AW9:BB9" si="1">SUM(AW1:AW7)</f>
        <v>52</v>
      </c>
      <c r="AX9" s="333">
        <f t="shared" si="1"/>
        <v>52</v>
      </c>
      <c r="AY9" s="333">
        <f t="shared" si="1"/>
        <v>52</v>
      </c>
      <c r="AZ9" s="333">
        <f t="shared" si="1"/>
        <v>52</v>
      </c>
      <c r="BA9" s="333">
        <f t="shared" si="1"/>
        <v>52</v>
      </c>
      <c r="BB9" s="333">
        <f t="shared" si="1"/>
        <v>52</v>
      </c>
      <c r="BC9" s="333"/>
    </row>
    <row r="10" spans="1:59" ht="36.6" customHeight="1" thickBot="1" x14ac:dyDescent="0.3">
      <c r="A10" s="350" t="s">
        <v>1033</v>
      </c>
      <c r="B10" s="350" t="s">
        <v>1039</v>
      </c>
      <c r="C10" s="350" t="s">
        <v>753</v>
      </c>
      <c r="D10" s="350" t="s">
        <v>1035</v>
      </c>
      <c r="E10" s="350" t="s">
        <v>1036</v>
      </c>
      <c r="F10" s="350" t="s">
        <v>1038</v>
      </c>
      <c r="G10" s="379" t="s">
        <v>1043</v>
      </c>
      <c r="H10" s="380" t="s">
        <v>1037</v>
      </c>
      <c r="I10" s="381" t="s">
        <v>1025</v>
      </c>
      <c r="J10" s="382" t="s">
        <v>1040</v>
      </c>
      <c r="K10" s="383" t="s">
        <v>1041</v>
      </c>
      <c r="L10" s="383" t="s">
        <v>1027</v>
      </c>
      <c r="M10" s="383" t="s">
        <v>1028</v>
      </c>
      <c r="N10" s="384" t="s">
        <v>749</v>
      </c>
      <c r="O10" s="385" t="s">
        <v>1025</v>
      </c>
      <c r="P10" s="386" t="s">
        <v>1040</v>
      </c>
      <c r="Q10" s="386" t="s">
        <v>1026</v>
      </c>
      <c r="R10" s="386" t="s">
        <v>1027</v>
      </c>
      <c r="S10" s="386" t="s">
        <v>1028</v>
      </c>
      <c r="T10" s="387" t="s">
        <v>749</v>
      </c>
      <c r="U10" s="388" t="s">
        <v>1025</v>
      </c>
      <c r="V10" s="389" t="s">
        <v>1040</v>
      </c>
      <c r="W10" s="390" t="s">
        <v>1041</v>
      </c>
      <c r="X10" s="390" t="s">
        <v>1027</v>
      </c>
      <c r="Y10" s="390" t="s">
        <v>1028</v>
      </c>
      <c r="Z10" s="391" t="s">
        <v>749</v>
      </c>
      <c r="AA10" s="78" t="s">
        <v>1025</v>
      </c>
      <c r="AB10" s="11" t="s">
        <v>1040</v>
      </c>
      <c r="AC10" s="12" t="s">
        <v>1041</v>
      </c>
      <c r="AD10" s="12" t="s">
        <v>1027</v>
      </c>
      <c r="AE10" s="12" t="s">
        <v>1028</v>
      </c>
      <c r="AF10" s="12" t="s">
        <v>749</v>
      </c>
      <c r="AG10" s="409"/>
      <c r="AH10" s="446" t="s">
        <v>731</v>
      </c>
      <c r="AI10" s="392" t="s">
        <v>1062</v>
      </c>
      <c r="AJ10" s="392" t="s">
        <v>752</v>
      </c>
      <c r="AK10" s="393" t="s">
        <v>782</v>
      </c>
      <c r="AL10" s="394" t="s">
        <v>1042</v>
      </c>
      <c r="AM10" s="395" t="s">
        <v>839</v>
      </c>
      <c r="AN10" s="396" t="s">
        <v>743</v>
      </c>
      <c r="AO10" s="396" t="s">
        <v>744</v>
      </c>
      <c r="AP10" s="396" t="s">
        <v>745</v>
      </c>
      <c r="AQ10" s="396" t="s">
        <v>746</v>
      </c>
      <c r="AR10" s="396" t="s">
        <v>747</v>
      </c>
      <c r="AS10" s="396"/>
      <c r="AT10" s="396" t="s">
        <v>893</v>
      </c>
      <c r="AU10" s="396" t="s">
        <v>892</v>
      </c>
      <c r="AV10" s="396"/>
    </row>
    <row r="11" spans="1:59" ht="15" thickTop="1" x14ac:dyDescent="0.3">
      <c r="A11" s="397">
        <f t="shared" ref="A11:A42" si="2">IF(OR(LEFT(J11,1)=" ",ISBLANK(J11)),0,1)+IF(OR(LEFT(P11,1)=" ",ISBLANK(P11)),0,1)+IF(OR(LEFT(V11,1)=" ",ISBLANK(V11)),0,1)</f>
        <v>2</v>
      </c>
      <c r="B11" s="397">
        <f t="shared" ref="B11:B42" si="3">IF(AND(TYPE(G11&lt;15),G11=FALSE),1,0)</f>
        <v>1</v>
      </c>
      <c r="C11" s="397">
        <f t="shared" ref="C11:C42" si="4">IF(B11=0,0,N11+T11+Z11)</f>
        <v>81.625</v>
      </c>
      <c r="D11" s="397">
        <f t="shared" ref="D11:D42" si="5">IF(B11=0,99999,M11+S11+Y11)</f>
        <v>10090</v>
      </c>
      <c r="E11" s="358">
        <f t="shared" ref="E11:E42" si="6">MIN(M11,S11,Y11)</f>
        <v>28</v>
      </c>
      <c r="F11" s="359" t="str">
        <f t="shared" ref="F11:F42" ca="1" si="7">CONCATENATE(IF(AND($P$4=1,H11&gt;$O$7),"0","9"),TEXT(B11,"0"),IF(AND($P$4=1,H11&gt;$O$7),"000000",TEXT(1000*C11,"000000")),IF(AND($P$4=1,H11&gt;$O$7),"000000",TEXT(999999-D11,"000000")),IF(AND($P$4=1,H11&gt;$O$7),"000000",TEXT(999999-E11,"000000")),TEXT(999999*RAND(),"000000"))</f>
        <v>91081625989909999971203607</v>
      </c>
      <c r="G11" s="398" t="b">
        <f t="shared" ref="G11:G42" si="8">IF(OR($K$6&gt;A11,AR11&gt;0),TRUE,FALSE)</f>
        <v>0</v>
      </c>
      <c r="H11" s="399">
        <f t="shared" ref="H11:H42" si="9">ROW(H11)-10</f>
        <v>1</v>
      </c>
      <c r="I11" s="400">
        <v>98446</v>
      </c>
      <c r="J11" s="401" t="s">
        <v>1592</v>
      </c>
      <c r="K11" s="402" t="s">
        <v>54</v>
      </c>
      <c r="L11" s="402" t="s">
        <v>1116</v>
      </c>
      <c r="M11" s="403">
        <v>28</v>
      </c>
      <c r="N11" s="404">
        <v>48.75</v>
      </c>
      <c r="O11" s="400">
        <v>23021</v>
      </c>
      <c r="P11" s="401" t="s">
        <v>444</v>
      </c>
      <c r="Q11" s="402" t="s">
        <v>46</v>
      </c>
      <c r="R11" s="402" t="s">
        <v>1094</v>
      </c>
      <c r="S11" s="403">
        <v>63</v>
      </c>
      <c r="T11" s="404">
        <v>32.875</v>
      </c>
      <c r="U11" s="400" t="s">
        <v>2005</v>
      </c>
      <c r="V11" s="401" t="s">
        <v>1054</v>
      </c>
      <c r="W11" s="402" t="s">
        <v>1054</v>
      </c>
      <c r="X11" s="402" t="s">
        <v>1054</v>
      </c>
      <c r="Y11" s="403">
        <v>9999</v>
      </c>
      <c r="Z11" s="404">
        <v>0</v>
      </c>
      <c r="AA11" s="400" t="s">
        <v>2005</v>
      </c>
      <c r="AB11" s="401" t="s">
        <v>1054</v>
      </c>
      <c r="AC11" s="402" t="s">
        <v>1054</v>
      </c>
      <c r="AD11" s="402" t="s">
        <v>1054</v>
      </c>
      <c r="AE11" s="403">
        <v>9999</v>
      </c>
      <c r="AF11" s="404">
        <v>0</v>
      </c>
      <c r="AG11" s="409"/>
      <c r="AH11" s="445">
        <f ca="1">IF(TYPE(VLOOKUP(H11,Centrum!$A$3:$E$130,5,0))&lt;4,VLOOKUP(H11,Centrum!$A$3:$E$130,5,0),0)</f>
        <v>11</v>
      </c>
      <c r="AI11" s="405">
        <f ca="1">IF(N($AH11)&gt;0,VLOOKUP($AH11,Body!$A$4:$F$259,5,0),"")</f>
        <v>96.397382812499984</v>
      </c>
      <c r="AJ11" s="406">
        <f ca="1">IF(N($AH11)&gt;0,VLOOKUP($AH11,Body!$A$4:$F$259,6,0),"")</f>
        <v>0</v>
      </c>
      <c r="AK11" s="405">
        <f ca="1">IF(N($AH11)&gt;0,VLOOKUP($AH11,Body!$A$4:$F$259,2,0),"")</f>
        <v>2.625</v>
      </c>
      <c r="AL11" s="407" t="str">
        <f t="shared" ref="AL11:AL42" si="10">IF(N(H11)&gt;$K$7,"",CONCATENATE(IF($Y$9="","",H11&amp;" "),L11,IF(L11="",""," - "),J11," ",K11))</f>
        <v>1 PC Sokol Lipník - Morávek Petr</v>
      </c>
      <c r="AM11" s="408">
        <f t="shared" ref="AM11:AM42" si="11">C11</f>
        <v>81.625</v>
      </c>
      <c r="AN11" s="334">
        <f>IF(OR(TYPE(I11)&gt;1,TYPE(MATCH(I11,I12:I$139,0))&gt;1),0,MATCH(I11,I12:I$139,0))+IF(OR(TYPE(I11)&gt;1,TYPE(MATCH(I11,O$11:O$139,0))&gt;1),0,MATCH(I11,O$11:O$139,0))+IF(OR(TYPE(I11)&gt;1,TYPE(MATCH(I11,U$11:U$139,0))&gt;1),0,MATCH(I11,U$11:U$139,0))+IF(OR(TYPE(I11)&gt;1,TYPE(MATCH(I11,AA$11:AA$139,0))&gt;1),0,MATCH(I11,AA$11:AA$139,0))</f>
        <v>0</v>
      </c>
      <c r="AO11" s="334">
        <f>IF(OR(TYPE(O11)&gt;1,TYPE(MATCH(O11,I$11:I$139,0))&gt;1),0,MATCH(O11,I$11:I$139,0))+IF(OR(TYPE(O11)&gt;1,TYPE(MATCH(O11,O12:O$139,0))&gt;1),0,MATCH(O11,O12:O$139,0))+IF(OR(TYPE(O11)&gt;1,TYPE(MATCH(O11,U$11:U$139,0))&gt;1),0,MATCH(O11,U$11:U$139,0))+IF(OR(TYPE(O11)&gt;1,TYPE(MATCH(O11,AA$11:AA$139,0))&gt;1),0,MATCH(O11,AA$11:AA$139,0))</f>
        <v>0</v>
      </c>
      <c r="AP11" s="334">
        <f>IF(OR(TYPE(U11)&gt;1,TYPE(MATCH(U11,I$11:I$139,0))&gt;1),0,MATCH(U11,I$11:I$139,0))+IF(OR(TYPE(U11)&gt;1,TYPE(MATCH(U11,O$11:O$139,0))&gt;1),0,MATCH(U11,O$11:O$139,0))+IF(OR(TYPE(U11)&gt;1,TYPE(MATCH(U11,U12:U$139,0))&gt;1),0,MATCH(U11,U12:U$139,0))+IF(OR(TYPE(U11)&gt;1,TYPE(MATCH(U11,AA$11:AA$139,0))&gt;1),0,MATCH(U11,AA$11:AA$139,0))</f>
        <v>0</v>
      </c>
      <c r="AQ11" s="334">
        <f>IF(OR(TYPE(AA11)&gt;1,TYPE(MATCH(AA11,I$11:I$139,0))&gt;1),0,MATCH(AA11,I$11:I$139,0))+IF(OR(TYPE(AA11)&gt;1,TYPE(MATCH(AA11,O$11:O$139,0))&gt;1),0,MATCH(AA11,O$11:O$139,0))+IF(OR(TYPE(AA11)&gt;1,TYPE(MATCH(AA11,U$11:U$139,0))&gt;1),0,MATCH(U11,U$11:U$139,0))+IF(OR(TYPE(AA11)&gt;1,TYPE(MATCH(AA11,AA12:AA$139,0))&gt;1),0,MATCH(AA11,AA12:AA$139,0))</f>
        <v>0</v>
      </c>
      <c r="AR11" s="334">
        <f t="shared" ref="AR11:AR42" si="12">SUM(AN11:AQ11)</f>
        <v>0</v>
      </c>
      <c r="AT11" s="333">
        <f t="shared" ref="AT11:AT42" si="13">IF(AU11=$K$6,1,0)</f>
        <v>0</v>
      </c>
      <c r="AU11" s="333">
        <f>IF(AND(N(I11)&gt;0,TYPE(VLOOKUP(I11,Hraci!$A$5:$A$800,1,0))&gt;3),1,0) + IF(AND(N(O11)&gt;0,TYPE(VLOOKUP(O11,Hraci!$A$5:$A$800,1,0))&gt;3),1,0) + IF(AND(N(U11)&gt;0,TYPE(VLOOKUP(U11,Hraci!$A$5:$A$800,1,0))&gt;3),1,0)</f>
        <v>0</v>
      </c>
      <c r="BF11" s="334">
        <f>H11</f>
        <v>1</v>
      </c>
    </row>
    <row r="12" spans="1:59" ht="14.25" x14ac:dyDescent="0.3">
      <c r="A12" s="358">
        <f t="shared" si="2"/>
        <v>2</v>
      </c>
      <c r="B12" s="358">
        <f t="shared" si="3"/>
        <v>1</v>
      </c>
      <c r="C12" s="358">
        <f t="shared" si="4"/>
        <v>79.5</v>
      </c>
      <c r="D12" s="358">
        <f t="shared" si="5"/>
        <v>10097</v>
      </c>
      <c r="E12" s="358">
        <f t="shared" si="6"/>
        <v>29</v>
      </c>
      <c r="F12" s="359" t="str">
        <f t="shared" ca="1" si="7"/>
        <v>91079500989902999970180330</v>
      </c>
      <c r="G12" s="398" t="b">
        <f t="shared" si="8"/>
        <v>0</v>
      </c>
      <c r="H12" s="399">
        <f t="shared" si="9"/>
        <v>2</v>
      </c>
      <c r="I12" s="400">
        <v>12020</v>
      </c>
      <c r="J12" s="401" t="s">
        <v>157</v>
      </c>
      <c r="K12" s="402" t="s">
        <v>54</v>
      </c>
      <c r="L12" s="402" t="s">
        <v>1116</v>
      </c>
      <c r="M12" s="403">
        <v>29</v>
      </c>
      <c r="N12" s="404">
        <v>48.75</v>
      </c>
      <c r="O12" s="400">
        <v>14060</v>
      </c>
      <c r="P12" s="401" t="s">
        <v>208</v>
      </c>
      <c r="Q12" s="402" t="s">
        <v>67</v>
      </c>
      <c r="R12" s="402" t="s">
        <v>1147</v>
      </c>
      <c r="S12" s="403">
        <v>69</v>
      </c>
      <c r="T12" s="404">
        <v>30.75</v>
      </c>
      <c r="U12" s="400" t="s">
        <v>2005</v>
      </c>
      <c r="V12" s="401" t="s">
        <v>1054</v>
      </c>
      <c r="W12" s="402" t="s">
        <v>1054</v>
      </c>
      <c r="X12" s="402" t="s">
        <v>1054</v>
      </c>
      <c r="Y12" s="403">
        <v>9999</v>
      </c>
      <c r="Z12" s="404">
        <v>0</v>
      </c>
      <c r="AA12" s="400" t="s">
        <v>2005</v>
      </c>
      <c r="AB12" s="401" t="s">
        <v>1054</v>
      </c>
      <c r="AC12" s="402" t="s">
        <v>1054</v>
      </c>
      <c r="AD12" s="402" t="s">
        <v>1054</v>
      </c>
      <c r="AE12" s="403">
        <v>9999</v>
      </c>
      <c r="AF12" s="404">
        <v>0</v>
      </c>
      <c r="AG12" s="409"/>
      <c r="AH12" s="445">
        <f ca="1">IF(TYPE(VLOOKUP(H12,Centrum!$A$3:$E$130,5,0))&lt;4,VLOOKUP(H12,Centrum!$A$3:$E$130,5,0),0)</f>
        <v>2</v>
      </c>
      <c r="AI12" s="405">
        <f ca="1">IF(N($AH12)&gt;0,VLOOKUP($AH12,Body!$A$4:$F$259,5,0),"")</f>
        <v>183.61406249999999</v>
      </c>
      <c r="AJ12" s="406">
        <f ca="1">IF(N($AH12)&gt;0,VLOOKUP($AH12,Body!$A$4:$F$259,6,0),"")</f>
        <v>0</v>
      </c>
      <c r="AK12" s="405">
        <f ca="1">IF(N($AH12)&gt;0,VLOOKUP($AH12,Body!$A$4:$F$259,2,0),"")</f>
        <v>5</v>
      </c>
      <c r="AL12" s="407" t="str">
        <f t="shared" si="10"/>
        <v>2 PC Sokol Lipník - Fafek Petr</v>
      </c>
      <c r="AM12" s="408">
        <f t="shared" si="11"/>
        <v>79.5</v>
      </c>
      <c r="AN12" s="334">
        <f>IF(OR(TYPE(I12)&gt;1,TYPE(MATCH(I12,I13:I$139,0))&gt;1),0,MATCH(I12,I13:I$139,0))+IF(OR(TYPE(I12)&gt;1,TYPE(MATCH(I12,O$11:O$139,0))&gt;1),0,MATCH(I12,O$11:O$139,0))+IF(OR(TYPE(I12)&gt;1,TYPE(MATCH(I12,U$11:U$139,0))&gt;1),0,MATCH(I12,U$11:U$139,0))+IF(OR(TYPE(I12)&gt;1,TYPE(MATCH(I12,AA$11:AA$139,0))&gt;1),0,MATCH(I12,AA$11:AA$139,0))</f>
        <v>0</v>
      </c>
      <c r="AO12" s="334">
        <f>IF(OR(TYPE(O12)&gt;1,TYPE(MATCH(O12,I$11:I$139,0))&gt;1),0,MATCH(O12,I$11:I$139,0))+IF(OR(TYPE(O12)&gt;1,TYPE(MATCH(O12,O13:O$139,0))&gt;1),0,MATCH(O12,O13:O$139,0))+IF(OR(TYPE(O12)&gt;1,TYPE(MATCH(O12,U$11:U$139,0))&gt;1),0,MATCH(O12,U$11:U$139,0))+IF(OR(TYPE(O12)&gt;1,TYPE(MATCH(O12,AA$11:AA$139,0))&gt;1),0,MATCH(O12,AA$11:AA$139,0))</f>
        <v>0</v>
      </c>
      <c r="AP12" s="334">
        <f>IF(OR(TYPE(U12)&gt;1,TYPE(MATCH(U12,I$11:I$139,0))&gt;1),0,MATCH(U12,I$11:I$139,0))+IF(OR(TYPE(U12)&gt;1,TYPE(MATCH(U12,O$11:O$139,0))&gt;1),0,MATCH(U12,O$11:O$139,0))+IF(OR(TYPE(U12)&gt;1,TYPE(MATCH(U12,U13:U$139,0))&gt;1),0,MATCH(U12,U13:U$139,0))+IF(OR(TYPE(U12)&gt;1,TYPE(MATCH(U12,AA$11:AA$139,0))&gt;1),0,MATCH(U12,AA$11:AA$139,0))</f>
        <v>0</v>
      </c>
      <c r="AQ12" s="334">
        <f>IF(OR(TYPE(AA12)&gt;1,TYPE(MATCH(AA12,I$11:I$139,0))&gt;1),0,MATCH(AA12,I$11:I$139,0))+IF(OR(TYPE(AA12)&gt;1,TYPE(MATCH(AA12,O$11:O$139,0))&gt;1),0,MATCH(AA12,O$11:O$139,0))+IF(OR(TYPE(AA12)&gt;1,TYPE(MATCH(AA12,U$11:U$139,0))&gt;1),0,MATCH(U12,U$11:U$139,0))+IF(OR(TYPE(AA12)&gt;1,TYPE(MATCH(AA12,AA13:AA$139,0))&gt;1),0,MATCH(AA12,AA13:AA$139,0))</f>
        <v>0</v>
      </c>
      <c r="AR12" s="334">
        <f t="shared" si="12"/>
        <v>0</v>
      </c>
      <c r="AT12" s="333">
        <f t="shared" si="13"/>
        <v>0</v>
      </c>
      <c r="AU12" s="333">
        <f>IF(AND(N(I12)&gt;0,TYPE(VLOOKUP(I12,Hraci!$A$5:$A$800,1,0))&gt;3),1,0) + IF(AND(N(O12)&gt;0,TYPE(VLOOKUP(O12,Hraci!$A$5:$A$800,1,0))&gt;3),1,0) + IF(AND(N(U12)&gt;0,TYPE(VLOOKUP(U12,Hraci!$A$5:$A$800,1,0))&gt;3),1,0)</f>
        <v>0</v>
      </c>
      <c r="BF12" s="334">
        <f t="shared" ref="BF12:BF75" si="14">H12</f>
        <v>2</v>
      </c>
    </row>
    <row r="13" spans="1:59" ht="14.25" x14ac:dyDescent="0.3">
      <c r="A13" s="358">
        <f t="shared" si="2"/>
        <v>2</v>
      </c>
      <c r="B13" s="358">
        <f t="shared" si="3"/>
        <v>1</v>
      </c>
      <c r="C13" s="358">
        <f t="shared" si="4"/>
        <v>77.438000000000002</v>
      </c>
      <c r="D13" s="358">
        <f t="shared" si="5"/>
        <v>10078</v>
      </c>
      <c r="E13" s="358">
        <f t="shared" si="6"/>
        <v>18</v>
      </c>
      <c r="F13" s="359" t="str">
        <f t="shared" ca="1" si="7"/>
        <v>91077438989921999981147906</v>
      </c>
      <c r="G13" s="398" t="b">
        <f t="shared" si="8"/>
        <v>0</v>
      </c>
      <c r="H13" s="399">
        <f t="shared" si="9"/>
        <v>3</v>
      </c>
      <c r="I13" s="400">
        <v>14076</v>
      </c>
      <c r="J13" s="401" t="s">
        <v>1549</v>
      </c>
      <c r="K13" s="402" t="s">
        <v>34</v>
      </c>
      <c r="L13" s="402" t="s">
        <v>1437</v>
      </c>
      <c r="M13" s="403">
        <v>61</v>
      </c>
      <c r="N13" s="404">
        <v>38.313000000000002</v>
      </c>
      <c r="O13" s="400">
        <v>24218</v>
      </c>
      <c r="P13" s="401" t="s">
        <v>172</v>
      </c>
      <c r="Q13" s="402" t="s">
        <v>54</v>
      </c>
      <c r="R13" s="402" t="s">
        <v>1162</v>
      </c>
      <c r="S13" s="403">
        <v>18</v>
      </c>
      <c r="T13" s="404">
        <v>39.125</v>
      </c>
      <c r="U13" s="400" t="s">
        <v>2005</v>
      </c>
      <c r="V13" s="401" t="s">
        <v>1054</v>
      </c>
      <c r="W13" s="402" t="s">
        <v>1054</v>
      </c>
      <c r="X13" s="402" t="s">
        <v>1054</v>
      </c>
      <c r="Y13" s="403">
        <v>9999</v>
      </c>
      <c r="Z13" s="404">
        <v>0</v>
      </c>
      <c r="AA13" s="400" t="s">
        <v>2005</v>
      </c>
      <c r="AB13" s="401" t="s">
        <v>1054</v>
      </c>
      <c r="AC13" s="402" t="s">
        <v>1054</v>
      </c>
      <c r="AD13" s="402" t="s">
        <v>1054</v>
      </c>
      <c r="AE13" s="403">
        <v>9999</v>
      </c>
      <c r="AF13" s="404">
        <v>0</v>
      </c>
      <c r="AG13" s="409"/>
      <c r="AH13" s="445">
        <f ca="1">IF(TYPE(VLOOKUP(H13,Centrum!$A$3:$E$130,5,0))&lt;4,VLOOKUP(H13,Centrum!$A$3:$E$130,5,0),0)</f>
        <v>4</v>
      </c>
      <c r="AI13" s="405">
        <f ca="1">IF(N($AH13)&gt;0,VLOOKUP($AH13,Body!$A$4:$F$259,5,0),"")</f>
        <v>146.89124999999999</v>
      </c>
      <c r="AJ13" s="406">
        <f ca="1">IF(N($AH13)&gt;0,VLOOKUP($AH13,Body!$A$4:$F$259,6,0),"")</f>
        <v>0</v>
      </c>
      <c r="AK13" s="405">
        <f ca="1">IF(N($AH13)&gt;0,VLOOKUP($AH13,Body!$A$4:$F$259,2,0),"")</f>
        <v>4</v>
      </c>
      <c r="AL13" s="407" t="str">
        <f t="shared" si="10"/>
        <v>3 Petank Club Praha - Klír Tomáš</v>
      </c>
      <c r="AM13" s="408">
        <f t="shared" si="11"/>
        <v>77.438000000000002</v>
      </c>
      <c r="AN13" s="334">
        <f>IF(OR(TYPE(I13)&gt;1,TYPE(MATCH(I13,I14:I$139,0))&gt;1),0,MATCH(I13,I14:I$139,0))+IF(OR(TYPE(I13)&gt;1,TYPE(MATCH(I13,O$11:O$139,0))&gt;1),0,MATCH(I13,O$11:O$139,0))+IF(OR(TYPE(I13)&gt;1,TYPE(MATCH(I13,U$11:U$139,0))&gt;1),0,MATCH(I13,U$11:U$139,0))+IF(OR(TYPE(I13)&gt;1,TYPE(MATCH(I13,AA$11:AA$139,0))&gt;1),0,MATCH(I13,AA$11:AA$139,0))</f>
        <v>0</v>
      </c>
      <c r="AO13" s="334">
        <f>IF(OR(TYPE(O13)&gt;1,TYPE(MATCH(O13,I$11:I$139,0))&gt;1),0,MATCH(O13,I$11:I$139,0))+IF(OR(TYPE(O13)&gt;1,TYPE(MATCH(O13,O14:O$139,0))&gt;1),0,MATCH(O13,O14:O$139,0))+IF(OR(TYPE(O13)&gt;1,TYPE(MATCH(O13,U$11:U$139,0))&gt;1),0,MATCH(O13,U$11:U$139,0))+IF(OR(TYPE(O13)&gt;1,TYPE(MATCH(O13,AA$11:AA$139,0))&gt;1),0,MATCH(O13,AA$11:AA$139,0))</f>
        <v>0</v>
      </c>
      <c r="AP13" s="334">
        <f>IF(OR(TYPE(U13)&gt;1,TYPE(MATCH(U13,I$11:I$139,0))&gt;1),0,MATCH(U13,I$11:I$139,0))+IF(OR(TYPE(U13)&gt;1,TYPE(MATCH(U13,O$11:O$139,0))&gt;1),0,MATCH(U13,O$11:O$139,0))+IF(OR(TYPE(U13)&gt;1,TYPE(MATCH(U13,U14:U$139,0))&gt;1),0,MATCH(U13,U14:U$139,0))+IF(OR(TYPE(U13)&gt;1,TYPE(MATCH(U13,AA$11:AA$139,0))&gt;1),0,MATCH(U13,AA$11:AA$139,0))</f>
        <v>0</v>
      </c>
      <c r="AQ13" s="334">
        <f>IF(OR(TYPE(AA13)&gt;1,TYPE(MATCH(AA13,I$11:I$139,0))&gt;1),0,MATCH(AA13,I$11:I$139,0))+IF(OR(TYPE(AA13)&gt;1,TYPE(MATCH(AA13,O$11:O$139,0))&gt;1),0,MATCH(AA13,O$11:O$139,0))+IF(OR(TYPE(AA13)&gt;1,TYPE(MATCH(AA13,U$11:U$139,0))&gt;1),0,MATCH(U13,U$11:U$139,0))+IF(OR(TYPE(AA13)&gt;1,TYPE(MATCH(AA13,AA14:AA$139,0))&gt;1),0,MATCH(AA13,AA14:AA$139,0))</f>
        <v>0</v>
      </c>
      <c r="AR13" s="334">
        <f t="shared" si="12"/>
        <v>0</v>
      </c>
      <c r="AT13" s="333">
        <f t="shared" si="13"/>
        <v>0</v>
      </c>
      <c r="AU13" s="333">
        <f>IF(AND(N(I13)&gt;0,TYPE(VLOOKUP(I13,Hraci!$A$5:$A$800,1,0))&gt;3),1,0) + IF(AND(N(O13)&gt;0,TYPE(VLOOKUP(O13,Hraci!$A$5:$A$800,1,0))&gt;3),1,0) + IF(AND(N(U13)&gt;0,TYPE(VLOOKUP(U13,Hraci!$A$5:$A$800,1,0))&gt;3),1,0)</f>
        <v>0</v>
      </c>
      <c r="BF13" s="334">
        <f t="shared" si="14"/>
        <v>3</v>
      </c>
    </row>
    <row r="14" spans="1:59" ht="14.25" x14ac:dyDescent="0.3">
      <c r="A14" s="358">
        <f t="shared" si="2"/>
        <v>2</v>
      </c>
      <c r="B14" s="358">
        <f t="shared" si="3"/>
        <v>1</v>
      </c>
      <c r="C14" s="358">
        <f t="shared" si="4"/>
        <v>77.375</v>
      </c>
      <c r="D14" s="358">
        <f t="shared" si="5"/>
        <v>10052</v>
      </c>
      <c r="E14" s="358">
        <f t="shared" si="6"/>
        <v>21</v>
      </c>
      <c r="F14" s="359" t="str">
        <f t="shared" ca="1" si="7"/>
        <v>91077375989947999978592921</v>
      </c>
      <c r="G14" s="398" t="b">
        <f t="shared" si="8"/>
        <v>0</v>
      </c>
      <c r="H14" s="399">
        <f t="shared" si="9"/>
        <v>4</v>
      </c>
      <c r="I14" s="400">
        <v>26011</v>
      </c>
      <c r="J14" s="401" t="s">
        <v>77</v>
      </c>
      <c r="K14" s="402" t="s">
        <v>78</v>
      </c>
      <c r="L14" s="402" t="s">
        <v>1147</v>
      </c>
      <c r="M14" s="403">
        <v>32</v>
      </c>
      <c r="N14" s="404">
        <v>36</v>
      </c>
      <c r="O14" s="400">
        <v>27069</v>
      </c>
      <c r="P14" s="401" t="s">
        <v>488</v>
      </c>
      <c r="Q14" s="402" t="s">
        <v>39</v>
      </c>
      <c r="R14" s="402" t="s">
        <v>1172</v>
      </c>
      <c r="S14" s="403">
        <v>21</v>
      </c>
      <c r="T14" s="404">
        <v>41.375</v>
      </c>
      <c r="U14" s="400" t="s">
        <v>2005</v>
      </c>
      <c r="V14" s="401" t="s">
        <v>1054</v>
      </c>
      <c r="W14" s="402" t="s">
        <v>1054</v>
      </c>
      <c r="X14" s="402" t="s">
        <v>1054</v>
      </c>
      <c r="Y14" s="403">
        <v>9999</v>
      </c>
      <c r="Z14" s="404">
        <v>0</v>
      </c>
      <c r="AA14" s="400" t="s">
        <v>2005</v>
      </c>
      <c r="AB14" s="401" t="s">
        <v>1054</v>
      </c>
      <c r="AC14" s="402" t="s">
        <v>1054</v>
      </c>
      <c r="AD14" s="402" t="s">
        <v>1054</v>
      </c>
      <c r="AE14" s="403">
        <v>9999</v>
      </c>
      <c r="AF14" s="404">
        <v>0</v>
      </c>
      <c r="AG14" s="409"/>
      <c r="AH14" s="445">
        <v>17</v>
      </c>
      <c r="AI14" s="405">
        <f>IF(N($AH14)&gt;0,VLOOKUP($AH14,Body!$A$4:$F$259,5,0),"")</f>
        <v>71.150449218749998</v>
      </c>
      <c r="AJ14" s="406">
        <f>IF(N($AH14)&gt;0,VLOOKUP($AH14,Body!$A$4:$F$259,6,0),"")</f>
        <v>0</v>
      </c>
      <c r="AK14" s="405">
        <f>IF(N($AH14)&gt;0,VLOOKUP($AH14,Body!$A$4:$F$259,2,0),"")</f>
        <v>1.9375</v>
      </c>
      <c r="AL14" s="407" t="str">
        <f t="shared" si="10"/>
        <v>4 1. KPK Vrchlabí - Brázda Vladimír</v>
      </c>
      <c r="AM14" s="408">
        <f t="shared" si="11"/>
        <v>77.375</v>
      </c>
      <c r="AN14" s="334">
        <f>IF(OR(TYPE(I14)&gt;1,TYPE(MATCH(I14,I15:I$139,0))&gt;1),0,MATCH(I14,I15:I$139,0))+IF(OR(TYPE(I14)&gt;1,TYPE(MATCH(I14,O$11:O$139,0))&gt;1),0,MATCH(I14,O$11:O$139,0))+IF(OR(TYPE(I14)&gt;1,TYPE(MATCH(I14,U$11:U$139,0))&gt;1),0,MATCH(I14,U$11:U$139,0))+IF(OR(TYPE(I14)&gt;1,TYPE(MATCH(I14,AA$11:AA$139,0))&gt;1),0,MATCH(I14,AA$11:AA$139,0))</f>
        <v>0</v>
      </c>
      <c r="AO14" s="334">
        <f>IF(OR(TYPE(O14)&gt;1,TYPE(MATCH(O14,I$11:I$139,0))&gt;1),0,MATCH(O14,I$11:I$139,0))+IF(OR(TYPE(O14)&gt;1,TYPE(MATCH(O14,O15:O$139,0))&gt;1),0,MATCH(O14,O15:O$139,0))+IF(OR(TYPE(O14)&gt;1,TYPE(MATCH(O14,U$11:U$139,0))&gt;1),0,MATCH(O14,U$11:U$139,0))+IF(OR(TYPE(O14)&gt;1,TYPE(MATCH(O14,AA$11:AA$139,0))&gt;1),0,MATCH(O14,AA$11:AA$139,0))</f>
        <v>0</v>
      </c>
      <c r="AP14" s="334">
        <f>IF(OR(TYPE(U14)&gt;1,TYPE(MATCH(U14,I$11:I$139,0))&gt;1),0,MATCH(U14,I$11:I$139,0))+IF(OR(TYPE(U14)&gt;1,TYPE(MATCH(U14,O$11:O$139,0))&gt;1),0,MATCH(U14,O$11:O$139,0))+IF(OR(TYPE(U14)&gt;1,TYPE(MATCH(U14,U15:U$139,0))&gt;1),0,MATCH(U14,U15:U$139,0))+IF(OR(TYPE(U14)&gt;1,TYPE(MATCH(U14,AA$11:AA$139,0))&gt;1),0,MATCH(U14,AA$11:AA$139,0))</f>
        <v>0</v>
      </c>
      <c r="AQ14" s="334">
        <f>IF(OR(TYPE(AA14)&gt;1,TYPE(MATCH(AA14,I$11:I$139,0))&gt;1),0,MATCH(AA14,I$11:I$139,0))+IF(OR(TYPE(AA14)&gt;1,TYPE(MATCH(AA14,O$11:O$139,0))&gt;1),0,MATCH(AA14,O$11:O$139,0))+IF(OR(TYPE(AA14)&gt;1,TYPE(MATCH(AA14,U$11:U$139,0))&gt;1),0,MATCH(U14,U$11:U$139,0))+IF(OR(TYPE(AA14)&gt;1,TYPE(MATCH(AA14,AA15:AA$139,0))&gt;1),0,MATCH(AA14,AA15:AA$139,0))</f>
        <v>0</v>
      </c>
      <c r="AR14" s="334">
        <f t="shared" si="12"/>
        <v>0</v>
      </c>
      <c r="AT14" s="333">
        <f t="shared" si="13"/>
        <v>0</v>
      </c>
      <c r="AU14" s="333">
        <f>IF(AND(N(I14)&gt;0,TYPE(VLOOKUP(I14,Hraci!$A$5:$A$800,1,0))&gt;3),1,0) + IF(AND(N(O14)&gt;0,TYPE(VLOOKUP(O14,Hraci!$A$5:$A$800,1,0))&gt;3),1,0) + IF(AND(N(U14)&gt;0,TYPE(VLOOKUP(U14,Hraci!$A$5:$A$800,1,0))&gt;3),1,0)</f>
        <v>0</v>
      </c>
      <c r="BF14" s="334">
        <f t="shared" si="14"/>
        <v>4</v>
      </c>
    </row>
    <row r="15" spans="1:59" ht="14.25" x14ac:dyDescent="0.3">
      <c r="A15" s="358">
        <f t="shared" si="2"/>
        <v>2</v>
      </c>
      <c r="B15" s="358">
        <f t="shared" si="3"/>
        <v>1</v>
      </c>
      <c r="C15" s="358">
        <f t="shared" si="4"/>
        <v>72.5</v>
      </c>
      <c r="D15" s="358">
        <f t="shared" si="5"/>
        <v>10096</v>
      </c>
      <c r="E15" s="358">
        <f t="shared" si="6"/>
        <v>40</v>
      </c>
      <c r="F15" s="359" t="str">
        <f t="shared" ca="1" si="7"/>
        <v>91072500989903999959560148</v>
      </c>
      <c r="G15" s="398" t="b">
        <f t="shared" si="8"/>
        <v>0</v>
      </c>
      <c r="H15" s="399">
        <f t="shared" si="9"/>
        <v>5</v>
      </c>
      <c r="I15" s="400">
        <v>21754</v>
      </c>
      <c r="J15" s="401" t="s">
        <v>573</v>
      </c>
      <c r="K15" s="402" t="s">
        <v>72</v>
      </c>
      <c r="L15" s="402" t="s">
        <v>1170</v>
      </c>
      <c r="M15" s="403">
        <v>57</v>
      </c>
      <c r="N15" s="404">
        <v>38.5</v>
      </c>
      <c r="O15" s="400">
        <v>25017</v>
      </c>
      <c r="P15" s="401" t="s">
        <v>503</v>
      </c>
      <c r="Q15" s="402" t="s">
        <v>20</v>
      </c>
      <c r="R15" s="402" t="s">
        <v>1170</v>
      </c>
      <c r="S15" s="403">
        <v>40</v>
      </c>
      <c r="T15" s="404">
        <v>34</v>
      </c>
      <c r="U15" s="400" t="s">
        <v>2005</v>
      </c>
      <c r="V15" s="401" t="s">
        <v>1054</v>
      </c>
      <c r="W15" s="402" t="s">
        <v>1054</v>
      </c>
      <c r="X15" s="402" t="s">
        <v>1054</v>
      </c>
      <c r="Y15" s="403">
        <v>9999</v>
      </c>
      <c r="Z15" s="404">
        <v>0</v>
      </c>
      <c r="AA15" s="400" t="s">
        <v>2005</v>
      </c>
      <c r="AB15" s="401" t="s">
        <v>1054</v>
      </c>
      <c r="AC15" s="402" t="s">
        <v>1054</v>
      </c>
      <c r="AD15" s="402" t="s">
        <v>1054</v>
      </c>
      <c r="AE15" s="403">
        <v>9999</v>
      </c>
      <c r="AF15" s="404">
        <v>0</v>
      </c>
      <c r="AG15" s="409"/>
      <c r="AH15" s="445">
        <v>29</v>
      </c>
      <c r="AI15" s="405">
        <f>IF(N($AH15)&gt;0,VLOOKUP($AH15,Body!$A$4:$F$259,5,0),"")</f>
        <v>43.608339843749995</v>
      </c>
      <c r="AJ15" s="406">
        <f>IF(N($AH15)&gt;0,VLOOKUP($AH15,Body!$A$4:$F$259,6,0),"")</f>
        <v>0</v>
      </c>
      <c r="AK15" s="405">
        <f>IF(N($AH15)&gt;0,VLOOKUP($AH15,Body!$A$4:$F$259,2,0),"")</f>
        <v>1.1875</v>
      </c>
      <c r="AL15" s="407" t="str">
        <f t="shared" si="10"/>
        <v>5 PK Osika Plzeň - Valenz Jan</v>
      </c>
      <c r="AM15" s="408">
        <f t="shared" si="11"/>
        <v>72.5</v>
      </c>
      <c r="AN15" s="334">
        <f>IF(OR(TYPE(I15)&gt;1,TYPE(MATCH(I15,I16:I$139,0))&gt;1),0,MATCH(I15,I16:I$139,0))+IF(OR(TYPE(I15)&gt;1,TYPE(MATCH(I15,O$11:O$139,0))&gt;1),0,MATCH(I15,O$11:O$139,0))+IF(OR(TYPE(I15)&gt;1,TYPE(MATCH(I15,U$11:U$139,0))&gt;1),0,MATCH(I15,U$11:U$139,0))+IF(OR(TYPE(I15)&gt;1,TYPE(MATCH(I15,AA$11:AA$139,0))&gt;1),0,MATCH(I15,AA$11:AA$139,0))</f>
        <v>0</v>
      </c>
      <c r="AO15" s="334">
        <f>IF(OR(TYPE(O15)&gt;1,TYPE(MATCH(O15,I$11:I$139,0))&gt;1),0,MATCH(O15,I$11:I$139,0))+IF(OR(TYPE(O15)&gt;1,TYPE(MATCH(O15,O16:O$139,0))&gt;1),0,MATCH(O15,O16:O$139,0))+IF(OR(TYPE(O15)&gt;1,TYPE(MATCH(O15,U$11:U$139,0))&gt;1),0,MATCH(O15,U$11:U$139,0))+IF(OR(TYPE(O15)&gt;1,TYPE(MATCH(O15,AA$11:AA$139,0))&gt;1),0,MATCH(O15,AA$11:AA$139,0))</f>
        <v>0</v>
      </c>
      <c r="AP15" s="334">
        <f>IF(OR(TYPE(U15)&gt;1,TYPE(MATCH(U15,I$11:I$139,0))&gt;1),0,MATCH(U15,I$11:I$139,0))+IF(OR(TYPE(U15)&gt;1,TYPE(MATCH(U15,O$11:O$139,0))&gt;1),0,MATCH(U15,O$11:O$139,0))+IF(OR(TYPE(U15)&gt;1,TYPE(MATCH(U15,U16:U$139,0))&gt;1),0,MATCH(U15,U16:U$139,0))+IF(OR(TYPE(U15)&gt;1,TYPE(MATCH(U15,AA$11:AA$139,0))&gt;1),0,MATCH(U15,AA$11:AA$139,0))</f>
        <v>0</v>
      </c>
      <c r="AQ15" s="334">
        <f>IF(OR(TYPE(AA15)&gt;1,TYPE(MATCH(AA15,I$11:I$139,0))&gt;1),0,MATCH(AA15,I$11:I$139,0))+IF(OR(TYPE(AA15)&gt;1,TYPE(MATCH(AA15,O$11:O$139,0))&gt;1),0,MATCH(AA15,O$11:O$139,0))+IF(OR(TYPE(AA15)&gt;1,TYPE(MATCH(AA15,U$11:U$139,0))&gt;1),0,MATCH(U15,U$11:U$139,0))+IF(OR(TYPE(AA15)&gt;1,TYPE(MATCH(AA15,AA16:AA$139,0))&gt;1),0,MATCH(AA15,AA16:AA$139,0))</f>
        <v>0</v>
      </c>
      <c r="AR15" s="334">
        <f t="shared" si="12"/>
        <v>0</v>
      </c>
      <c r="AT15" s="333">
        <f t="shared" si="13"/>
        <v>0</v>
      </c>
      <c r="AU15" s="333">
        <f>IF(AND(N(I15)&gt;0,TYPE(VLOOKUP(I15,Hraci!$A$5:$A$800,1,0))&gt;3),1,0) + IF(AND(N(O15)&gt;0,TYPE(VLOOKUP(O15,Hraci!$A$5:$A$800,1,0))&gt;3),1,0) + IF(AND(N(U15)&gt;0,TYPE(VLOOKUP(U15,Hraci!$A$5:$A$800,1,0))&gt;3),1,0)</f>
        <v>0</v>
      </c>
      <c r="BF15" s="334">
        <f t="shared" si="14"/>
        <v>5</v>
      </c>
    </row>
    <row r="16" spans="1:59" ht="14.25" x14ac:dyDescent="0.3">
      <c r="A16" s="358">
        <f t="shared" si="2"/>
        <v>2</v>
      </c>
      <c r="B16" s="358">
        <f t="shared" si="3"/>
        <v>1</v>
      </c>
      <c r="C16" s="358">
        <f t="shared" si="4"/>
        <v>68.656000000000006</v>
      </c>
      <c r="D16" s="358">
        <f t="shared" si="5"/>
        <v>10131</v>
      </c>
      <c r="E16" s="358">
        <f t="shared" si="6"/>
        <v>46</v>
      </c>
      <c r="F16" s="359" t="str">
        <f t="shared" ca="1" si="7"/>
        <v>91068656989868999953993550</v>
      </c>
      <c r="G16" s="398" t="b">
        <f t="shared" si="8"/>
        <v>0</v>
      </c>
      <c r="H16" s="399">
        <f t="shared" si="9"/>
        <v>6</v>
      </c>
      <c r="I16" s="400">
        <v>99574</v>
      </c>
      <c r="J16" s="401" t="s">
        <v>119</v>
      </c>
      <c r="K16" s="402" t="s">
        <v>120</v>
      </c>
      <c r="L16" s="402" t="s">
        <v>1119</v>
      </c>
      <c r="M16" s="403">
        <v>46</v>
      </c>
      <c r="N16" s="404">
        <v>39.5</v>
      </c>
      <c r="O16" s="400">
        <v>12017</v>
      </c>
      <c r="P16" s="401" t="s">
        <v>560</v>
      </c>
      <c r="Q16" s="402" t="s">
        <v>182</v>
      </c>
      <c r="R16" s="402" t="s">
        <v>1162</v>
      </c>
      <c r="S16" s="403">
        <v>86</v>
      </c>
      <c r="T16" s="404">
        <v>29.155999999999999</v>
      </c>
      <c r="U16" s="400" t="s">
        <v>2005</v>
      </c>
      <c r="V16" s="401" t="s">
        <v>1054</v>
      </c>
      <c r="W16" s="402" t="s">
        <v>1054</v>
      </c>
      <c r="X16" s="402" t="s">
        <v>1054</v>
      </c>
      <c r="Y16" s="403">
        <v>9999</v>
      </c>
      <c r="Z16" s="404">
        <v>0</v>
      </c>
      <c r="AA16" s="400" t="s">
        <v>2005</v>
      </c>
      <c r="AB16" s="401" t="s">
        <v>1054</v>
      </c>
      <c r="AC16" s="402" t="s">
        <v>1054</v>
      </c>
      <c r="AD16" s="402" t="s">
        <v>1054</v>
      </c>
      <c r="AE16" s="403">
        <v>9999</v>
      </c>
      <c r="AF16" s="404">
        <v>0</v>
      </c>
      <c r="AG16" s="409"/>
      <c r="AH16" s="445">
        <f ca="1">IF(TYPE(VLOOKUP(H16,Centrum!$A$3:$E$130,5,0))&lt;4,VLOOKUP(H16,Centrum!$A$3:$E$130,5,0),0)</f>
        <v>5</v>
      </c>
      <c r="AI16" s="405">
        <f ca="1">IF(N($AH16)&gt;0,VLOOKUP($AH16,Body!$A$4:$F$259,5,0),"")</f>
        <v>137.71054687499998</v>
      </c>
      <c r="AJ16" s="406">
        <f ca="1">IF(N($AH16)&gt;0,VLOOKUP($AH16,Body!$A$4:$F$259,6,0),"")</f>
        <v>0</v>
      </c>
      <c r="AK16" s="405">
        <f ca="1">IF(N($AH16)&gt;0,VLOOKUP($AH16,Body!$A$4:$F$259,2,0),"")</f>
        <v>3.75</v>
      </c>
      <c r="AL16" s="407" t="str">
        <f t="shared" si="10"/>
        <v>6 SK Sahara Vědomice - Demčíková Jiřina</v>
      </c>
      <c r="AM16" s="408">
        <f t="shared" si="11"/>
        <v>68.656000000000006</v>
      </c>
      <c r="AN16" s="334">
        <f>IF(OR(TYPE(I16)&gt;1,TYPE(MATCH(I16,I17:I$139,0))&gt;1),0,MATCH(I16,I17:I$139,0))+IF(OR(TYPE(I16)&gt;1,TYPE(MATCH(I16,O$11:O$139,0))&gt;1),0,MATCH(I16,O$11:O$139,0))+IF(OR(TYPE(I16)&gt;1,TYPE(MATCH(I16,U$11:U$139,0))&gt;1),0,MATCH(I16,U$11:U$139,0))+IF(OR(TYPE(I16)&gt;1,TYPE(MATCH(I16,AA$11:AA$139,0))&gt;1),0,MATCH(I16,AA$11:AA$139,0))</f>
        <v>0</v>
      </c>
      <c r="AO16" s="334">
        <f>IF(OR(TYPE(O16)&gt;1,TYPE(MATCH(O16,I$11:I$139,0))&gt;1),0,MATCH(O16,I$11:I$139,0))+IF(OR(TYPE(O16)&gt;1,TYPE(MATCH(O16,O17:O$139,0))&gt;1),0,MATCH(O16,O17:O$139,0))+IF(OR(TYPE(O16)&gt;1,TYPE(MATCH(O16,U$11:U$139,0))&gt;1),0,MATCH(O16,U$11:U$139,0))+IF(OR(TYPE(O16)&gt;1,TYPE(MATCH(O16,AA$11:AA$139,0))&gt;1),0,MATCH(O16,AA$11:AA$139,0))</f>
        <v>0</v>
      </c>
      <c r="AP16" s="334">
        <f>IF(OR(TYPE(U16)&gt;1,TYPE(MATCH(U16,I$11:I$139,0))&gt;1),0,MATCH(U16,I$11:I$139,0))+IF(OR(TYPE(U16)&gt;1,TYPE(MATCH(U16,O$11:O$139,0))&gt;1),0,MATCH(U16,O$11:O$139,0))+IF(OR(TYPE(U16)&gt;1,TYPE(MATCH(U16,U17:U$139,0))&gt;1),0,MATCH(U16,U17:U$139,0))+IF(OR(TYPE(U16)&gt;1,TYPE(MATCH(U16,AA$11:AA$139,0))&gt;1),0,MATCH(U16,AA$11:AA$139,0))</f>
        <v>0</v>
      </c>
      <c r="AQ16" s="334">
        <f>IF(OR(TYPE(AA16)&gt;1,TYPE(MATCH(AA16,I$11:I$139,0))&gt;1),0,MATCH(AA16,I$11:I$139,0))+IF(OR(TYPE(AA16)&gt;1,TYPE(MATCH(AA16,O$11:O$139,0))&gt;1),0,MATCH(AA16,O$11:O$139,0))+IF(OR(TYPE(AA16)&gt;1,TYPE(MATCH(AA16,U$11:U$139,0))&gt;1),0,MATCH(U16,U$11:U$139,0))+IF(OR(TYPE(AA16)&gt;1,TYPE(MATCH(AA16,AA17:AA$139,0))&gt;1),0,MATCH(AA16,AA17:AA$139,0))</f>
        <v>0</v>
      </c>
      <c r="AR16" s="334">
        <f t="shared" si="12"/>
        <v>0</v>
      </c>
      <c r="AT16" s="333">
        <f t="shared" si="13"/>
        <v>0</v>
      </c>
      <c r="AU16" s="333">
        <f>IF(AND(N(I16)&gt;0,TYPE(VLOOKUP(I16,Hraci!$A$5:$A$800,1,0))&gt;3),1,0) + IF(AND(N(O16)&gt;0,TYPE(VLOOKUP(O16,Hraci!$A$5:$A$800,1,0))&gt;3),1,0) + IF(AND(N(U16)&gt;0,TYPE(VLOOKUP(U16,Hraci!$A$5:$A$800,1,0))&gt;3),1,0)</f>
        <v>0</v>
      </c>
      <c r="BF16" s="334">
        <f t="shared" si="14"/>
        <v>6</v>
      </c>
    </row>
    <row r="17" spans="1:58" ht="14.25" x14ac:dyDescent="0.3">
      <c r="A17" s="358">
        <f t="shared" si="2"/>
        <v>2</v>
      </c>
      <c r="B17" s="358">
        <f t="shared" si="3"/>
        <v>1</v>
      </c>
      <c r="C17" s="358">
        <f t="shared" si="4"/>
        <v>62.5</v>
      </c>
      <c r="D17" s="358">
        <f t="shared" si="5"/>
        <v>10160</v>
      </c>
      <c r="E17" s="358">
        <f t="shared" si="6"/>
        <v>60</v>
      </c>
      <c r="F17" s="359" t="str">
        <f t="shared" ca="1" si="7"/>
        <v>91062500989839999939022833</v>
      </c>
      <c r="G17" s="398" t="b">
        <f t="shared" si="8"/>
        <v>0</v>
      </c>
      <c r="H17" s="399">
        <f t="shared" si="9"/>
        <v>7</v>
      </c>
      <c r="I17" s="400">
        <v>99590</v>
      </c>
      <c r="J17" s="401" t="s">
        <v>279</v>
      </c>
      <c r="K17" s="402" t="s">
        <v>177</v>
      </c>
      <c r="L17" s="402" t="s">
        <v>680</v>
      </c>
      <c r="M17" s="403">
        <v>60</v>
      </c>
      <c r="N17" s="404">
        <v>32</v>
      </c>
      <c r="O17" s="400">
        <v>28050</v>
      </c>
      <c r="P17" s="401" t="s">
        <v>50</v>
      </c>
      <c r="Q17" s="402" t="s">
        <v>33</v>
      </c>
      <c r="R17" s="402" t="s">
        <v>680</v>
      </c>
      <c r="S17" s="403">
        <v>101</v>
      </c>
      <c r="T17" s="404">
        <v>30.5</v>
      </c>
      <c r="U17" s="400" t="s">
        <v>2005</v>
      </c>
      <c r="V17" s="401" t="s">
        <v>1054</v>
      </c>
      <c r="W17" s="402" t="s">
        <v>1054</v>
      </c>
      <c r="X17" s="402" t="s">
        <v>1054</v>
      </c>
      <c r="Y17" s="403">
        <v>9999</v>
      </c>
      <c r="Z17" s="404">
        <v>0</v>
      </c>
      <c r="AA17" s="400" t="s">
        <v>2005</v>
      </c>
      <c r="AB17" s="401" t="s">
        <v>1054</v>
      </c>
      <c r="AC17" s="402" t="s">
        <v>1054</v>
      </c>
      <c r="AD17" s="402" t="s">
        <v>1054</v>
      </c>
      <c r="AE17" s="403">
        <v>9999</v>
      </c>
      <c r="AF17" s="404">
        <v>0</v>
      </c>
      <c r="AG17" s="409"/>
      <c r="AH17" s="445">
        <f ca="1">IF(TYPE(VLOOKUP(H17,Centrum!$A$3:$E$130,5,0))&lt;4,VLOOKUP(H17,Centrum!$A$3:$E$130,5,0),0)</f>
        <v>1</v>
      </c>
      <c r="AI17" s="405">
        <f ca="1">IF(N($AH17)&gt;0,VLOOKUP($AH17,Body!$A$4:$F$259,5,0),"")</f>
        <v>220.33687499999996</v>
      </c>
      <c r="AJ17" s="406">
        <f ca="1">IF(N($AH17)&gt;0,VLOOKUP($AH17,Body!$A$4:$F$259,6,0),"")</f>
        <v>0</v>
      </c>
      <c r="AK17" s="405">
        <f ca="1">IF(N($AH17)&gt;0,VLOOKUP($AH17,Body!$A$4:$F$259,2,0),"")</f>
        <v>6</v>
      </c>
      <c r="AL17" s="407" t="str">
        <f t="shared" si="10"/>
        <v>7 PC Kolová - Kacerovský Ivo</v>
      </c>
      <c r="AM17" s="408">
        <f t="shared" si="11"/>
        <v>62.5</v>
      </c>
      <c r="AN17" s="334">
        <f>IF(OR(TYPE(I17)&gt;1,TYPE(MATCH(I17,I18:I$139,0))&gt;1),0,MATCH(I17,I18:I$139,0))+IF(OR(TYPE(I17)&gt;1,TYPE(MATCH(I17,O$11:O$139,0))&gt;1),0,MATCH(I17,O$11:O$139,0))+IF(OR(TYPE(I17)&gt;1,TYPE(MATCH(I17,U$11:U$139,0))&gt;1),0,MATCH(I17,U$11:U$139,0))+IF(OR(TYPE(I17)&gt;1,TYPE(MATCH(I17,AA$11:AA$139,0))&gt;1),0,MATCH(I17,AA$11:AA$139,0))</f>
        <v>0</v>
      </c>
      <c r="AO17" s="334">
        <f>IF(OR(TYPE(O17)&gt;1,TYPE(MATCH(O17,I$11:I$139,0))&gt;1),0,MATCH(O17,I$11:I$139,0))+IF(OR(TYPE(O17)&gt;1,TYPE(MATCH(O17,O18:O$139,0))&gt;1),0,MATCH(O17,O18:O$139,0))+IF(OR(TYPE(O17)&gt;1,TYPE(MATCH(O17,U$11:U$139,0))&gt;1),0,MATCH(O17,U$11:U$139,0))+IF(OR(TYPE(O17)&gt;1,TYPE(MATCH(O17,AA$11:AA$139,0))&gt;1),0,MATCH(O17,AA$11:AA$139,0))</f>
        <v>0</v>
      </c>
      <c r="AP17" s="334">
        <f>IF(OR(TYPE(U17)&gt;1,TYPE(MATCH(U17,I$11:I$139,0))&gt;1),0,MATCH(U17,I$11:I$139,0))+IF(OR(TYPE(U17)&gt;1,TYPE(MATCH(U17,O$11:O$139,0))&gt;1),0,MATCH(U17,O$11:O$139,0))+IF(OR(TYPE(U17)&gt;1,TYPE(MATCH(U17,U18:U$139,0))&gt;1),0,MATCH(U17,U18:U$139,0))+IF(OR(TYPE(U17)&gt;1,TYPE(MATCH(U17,AA$11:AA$139,0))&gt;1),0,MATCH(U17,AA$11:AA$139,0))</f>
        <v>0</v>
      </c>
      <c r="AQ17" s="334">
        <f>IF(OR(TYPE(AA17)&gt;1,TYPE(MATCH(AA17,I$11:I$139,0))&gt;1),0,MATCH(AA17,I$11:I$139,0))+IF(OR(TYPE(AA17)&gt;1,TYPE(MATCH(AA17,O$11:O$139,0))&gt;1),0,MATCH(AA17,O$11:O$139,0))+IF(OR(TYPE(AA17)&gt;1,TYPE(MATCH(AA17,U$11:U$139,0))&gt;1),0,MATCH(U17,U$11:U$139,0))+IF(OR(TYPE(AA17)&gt;1,TYPE(MATCH(AA17,AA18:AA$139,0))&gt;1),0,MATCH(AA17,AA18:AA$139,0))</f>
        <v>0</v>
      </c>
      <c r="AR17" s="334">
        <f t="shared" si="12"/>
        <v>0</v>
      </c>
      <c r="AT17" s="333">
        <f t="shared" si="13"/>
        <v>0</v>
      </c>
      <c r="AU17" s="333">
        <f>IF(AND(N(I17)&gt;0,TYPE(VLOOKUP(I17,Hraci!$A$5:$A$800,1,0))&gt;3),1,0) + IF(AND(N(O17)&gt;0,TYPE(VLOOKUP(O17,Hraci!$A$5:$A$800,1,0))&gt;3),1,0) + IF(AND(N(U17)&gt;0,TYPE(VLOOKUP(U17,Hraci!$A$5:$A$800,1,0))&gt;3),1,0)</f>
        <v>0</v>
      </c>
      <c r="BF17" s="334">
        <f t="shared" si="14"/>
        <v>7</v>
      </c>
    </row>
    <row r="18" spans="1:58" ht="14.25" x14ac:dyDescent="0.3">
      <c r="A18" s="358">
        <f t="shared" si="2"/>
        <v>2</v>
      </c>
      <c r="B18" s="358">
        <f t="shared" si="3"/>
        <v>1</v>
      </c>
      <c r="C18" s="358">
        <f t="shared" si="4"/>
        <v>56.25</v>
      </c>
      <c r="D18" s="358">
        <f t="shared" si="5"/>
        <v>10163</v>
      </c>
      <c r="E18" s="358">
        <f t="shared" si="6"/>
        <v>64</v>
      </c>
      <c r="F18" s="359" t="str">
        <f t="shared" ca="1" si="7"/>
        <v>91056250989836999935062799</v>
      </c>
      <c r="G18" s="398" t="b">
        <f t="shared" si="8"/>
        <v>0</v>
      </c>
      <c r="H18" s="399">
        <f t="shared" si="9"/>
        <v>8</v>
      </c>
      <c r="I18" s="400">
        <v>12070</v>
      </c>
      <c r="J18" s="401" t="s">
        <v>1197</v>
      </c>
      <c r="K18" s="402" t="s">
        <v>54</v>
      </c>
      <c r="L18" s="402" t="s">
        <v>1142</v>
      </c>
      <c r="M18" s="403">
        <v>100</v>
      </c>
      <c r="N18" s="404">
        <v>27.625</v>
      </c>
      <c r="O18" s="400">
        <v>12086</v>
      </c>
      <c r="P18" s="401" t="s">
        <v>1180</v>
      </c>
      <c r="Q18" s="402" t="s">
        <v>46</v>
      </c>
      <c r="R18" s="402" t="s">
        <v>1142</v>
      </c>
      <c r="S18" s="403">
        <v>64</v>
      </c>
      <c r="T18" s="404">
        <v>28.625</v>
      </c>
      <c r="U18" s="400" t="s">
        <v>2005</v>
      </c>
      <c r="V18" s="401" t="s">
        <v>1054</v>
      </c>
      <c r="W18" s="402" t="s">
        <v>1054</v>
      </c>
      <c r="X18" s="402" t="s">
        <v>1054</v>
      </c>
      <c r="Y18" s="403">
        <v>9999</v>
      </c>
      <c r="Z18" s="404">
        <v>0</v>
      </c>
      <c r="AA18" s="400" t="s">
        <v>2005</v>
      </c>
      <c r="AB18" s="401" t="s">
        <v>1054</v>
      </c>
      <c r="AC18" s="402" t="s">
        <v>1054</v>
      </c>
      <c r="AD18" s="402" t="s">
        <v>1054</v>
      </c>
      <c r="AE18" s="403">
        <v>9999</v>
      </c>
      <c r="AF18" s="404">
        <v>0</v>
      </c>
      <c r="AG18" s="409"/>
      <c r="AH18" s="445">
        <v>28</v>
      </c>
      <c r="AI18" s="405">
        <f>IF(N($AH18)&gt;0,VLOOKUP($AH18,Body!$A$4:$F$259,5,0),"")</f>
        <v>45.903515624999997</v>
      </c>
      <c r="AJ18" s="406">
        <f>IF(N($AH18)&gt;0,VLOOKUP($AH18,Body!$A$4:$F$259,6,0),"")</f>
        <v>0</v>
      </c>
      <c r="AK18" s="405">
        <f>IF(N($AH18)&gt;0,VLOOKUP($AH18,Body!$A$4:$F$259,2,0),"")</f>
        <v>1.25</v>
      </c>
      <c r="AL18" s="407" t="str">
        <f t="shared" si="10"/>
        <v>8 CdP Loděnice - Mrázek Petr</v>
      </c>
      <c r="AM18" s="408">
        <f t="shared" si="11"/>
        <v>56.25</v>
      </c>
      <c r="AN18" s="334">
        <f>IF(OR(TYPE(I18)&gt;1,TYPE(MATCH(I18,I19:I$139,0))&gt;1),0,MATCH(I18,I19:I$139,0))+IF(OR(TYPE(I18)&gt;1,TYPE(MATCH(I18,O$11:O$139,0))&gt;1),0,MATCH(I18,O$11:O$139,0))+IF(OR(TYPE(I18)&gt;1,TYPE(MATCH(I18,U$11:U$139,0))&gt;1),0,MATCH(I18,U$11:U$139,0))+IF(OR(TYPE(I18)&gt;1,TYPE(MATCH(I18,AA$11:AA$139,0))&gt;1),0,MATCH(I18,AA$11:AA$139,0))</f>
        <v>0</v>
      </c>
      <c r="AO18" s="334">
        <f>IF(OR(TYPE(O18)&gt;1,TYPE(MATCH(O18,I$11:I$139,0))&gt;1),0,MATCH(O18,I$11:I$139,0))+IF(OR(TYPE(O18)&gt;1,TYPE(MATCH(O18,O19:O$139,0))&gt;1),0,MATCH(O18,O19:O$139,0))+IF(OR(TYPE(O18)&gt;1,TYPE(MATCH(O18,U$11:U$139,0))&gt;1),0,MATCH(O18,U$11:U$139,0))+IF(OR(TYPE(O18)&gt;1,TYPE(MATCH(O18,AA$11:AA$139,0))&gt;1),0,MATCH(O18,AA$11:AA$139,0))</f>
        <v>0</v>
      </c>
      <c r="AP18" s="334">
        <f>IF(OR(TYPE(U18)&gt;1,TYPE(MATCH(U18,I$11:I$139,0))&gt;1),0,MATCH(U18,I$11:I$139,0))+IF(OR(TYPE(U18)&gt;1,TYPE(MATCH(U18,O$11:O$139,0))&gt;1),0,MATCH(U18,O$11:O$139,0))+IF(OR(TYPE(U18)&gt;1,TYPE(MATCH(U18,U19:U$139,0))&gt;1),0,MATCH(U18,U19:U$139,0))+IF(OR(TYPE(U18)&gt;1,TYPE(MATCH(U18,AA$11:AA$139,0))&gt;1),0,MATCH(U18,AA$11:AA$139,0))</f>
        <v>0</v>
      </c>
      <c r="AQ18" s="334">
        <f>IF(OR(TYPE(AA18)&gt;1,TYPE(MATCH(AA18,I$11:I$139,0))&gt;1),0,MATCH(AA18,I$11:I$139,0))+IF(OR(TYPE(AA18)&gt;1,TYPE(MATCH(AA18,O$11:O$139,0))&gt;1),0,MATCH(AA18,O$11:O$139,0))+IF(OR(TYPE(AA18)&gt;1,TYPE(MATCH(AA18,U$11:U$139,0))&gt;1),0,MATCH(U18,U$11:U$139,0))+IF(OR(TYPE(AA18)&gt;1,TYPE(MATCH(AA18,AA19:AA$139,0))&gt;1),0,MATCH(AA18,AA19:AA$139,0))</f>
        <v>0</v>
      </c>
      <c r="AR18" s="334">
        <f t="shared" si="12"/>
        <v>0</v>
      </c>
      <c r="AT18" s="333">
        <f t="shared" si="13"/>
        <v>0</v>
      </c>
      <c r="AU18" s="333">
        <f>IF(AND(N(I18)&gt;0,TYPE(VLOOKUP(I18,Hraci!$A$5:$A$800,1,0))&gt;3),1,0) + IF(AND(N(O18)&gt;0,TYPE(VLOOKUP(O18,Hraci!$A$5:$A$800,1,0))&gt;3),1,0) + IF(AND(N(U18)&gt;0,TYPE(VLOOKUP(U18,Hraci!$A$5:$A$800,1,0))&gt;3),1,0)</f>
        <v>0</v>
      </c>
      <c r="BF18" s="334">
        <f t="shared" si="14"/>
        <v>8</v>
      </c>
    </row>
    <row r="19" spans="1:58" ht="14.25" x14ac:dyDescent="0.3">
      <c r="A19" s="358">
        <f t="shared" si="2"/>
        <v>2</v>
      </c>
      <c r="B19" s="358">
        <f t="shared" si="3"/>
        <v>1</v>
      </c>
      <c r="C19" s="358">
        <f t="shared" si="4"/>
        <v>53.096000000000004</v>
      </c>
      <c r="D19" s="358">
        <f t="shared" si="5"/>
        <v>10178</v>
      </c>
      <c r="E19" s="358">
        <f t="shared" si="6"/>
        <v>77</v>
      </c>
      <c r="F19" s="359" t="str">
        <f t="shared" ca="1" si="7"/>
        <v>91053096989821999922794160</v>
      </c>
      <c r="G19" s="398" t="b">
        <f t="shared" si="8"/>
        <v>0</v>
      </c>
      <c r="H19" s="399">
        <f t="shared" si="9"/>
        <v>9</v>
      </c>
      <c r="I19" s="400">
        <v>25014</v>
      </c>
      <c r="J19" s="401" t="s">
        <v>419</v>
      </c>
      <c r="K19" s="402" t="s">
        <v>105</v>
      </c>
      <c r="L19" s="402" t="s">
        <v>1170</v>
      </c>
      <c r="M19" s="403">
        <v>77</v>
      </c>
      <c r="N19" s="404">
        <v>28.876000000000001</v>
      </c>
      <c r="O19" s="400">
        <v>12073</v>
      </c>
      <c r="P19" s="401" t="s">
        <v>1208</v>
      </c>
      <c r="Q19" s="402" t="s">
        <v>1209</v>
      </c>
      <c r="R19" s="402" t="s">
        <v>1170</v>
      </c>
      <c r="S19" s="403">
        <v>102</v>
      </c>
      <c r="T19" s="404">
        <v>24.22</v>
      </c>
      <c r="U19" s="400" t="s">
        <v>2005</v>
      </c>
      <c r="V19" s="401" t="s">
        <v>1054</v>
      </c>
      <c r="W19" s="402" t="s">
        <v>1054</v>
      </c>
      <c r="X19" s="402" t="s">
        <v>1054</v>
      </c>
      <c r="Y19" s="403">
        <v>9999</v>
      </c>
      <c r="Z19" s="404">
        <v>0</v>
      </c>
      <c r="AA19" s="400" t="s">
        <v>2005</v>
      </c>
      <c r="AB19" s="401" t="s">
        <v>1054</v>
      </c>
      <c r="AC19" s="402" t="s">
        <v>1054</v>
      </c>
      <c r="AD19" s="402" t="s">
        <v>1054</v>
      </c>
      <c r="AE19" s="403">
        <v>9999</v>
      </c>
      <c r="AF19" s="404">
        <v>0</v>
      </c>
      <c r="AG19" s="409"/>
      <c r="AH19" s="445">
        <f ca="1">IF(TYPE(VLOOKUP(H19,Centrum!$A$3:$E$130,5,0))&lt;4,VLOOKUP(H19,Centrum!$A$3:$E$130,5,0),0)</f>
        <v>12</v>
      </c>
      <c r="AI19" s="405">
        <f ca="1">IF(N($AH19)&gt;0,VLOOKUP($AH19,Body!$A$4:$F$259,5,0),"")</f>
        <v>91.807031249999994</v>
      </c>
      <c r="AJ19" s="406">
        <f ca="1">IF(N($AH19)&gt;0,VLOOKUP($AH19,Body!$A$4:$F$259,6,0),"")</f>
        <v>0</v>
      </c>
      <c r="AK19" s="405">
        <f ca="1">IF(N($AH19)&gt;0,VLOOKUP($AH19,Body!$A$4:$F$259,2,0),"")</f>
        <v>2.5</v>
      </c>
      <c r="AL19" s="407" t="str">
        <f t="shared" si="10"/>
        <v>9 PK Osika Plzeň - Mráz Václav</v>
      </c>
      <c r="AM19" s="408">
        <f t="shared" si="11"/>
        <v>53.096000000000004</v>
      </c>
      <c r="AN19" s="334">
        <f>IF(OR(TYPE(I19)&gt;1,TYPE(MATCH(I19,I20:I$139,0))&gt;1),0,MATCH(I19,I20:I$139,0))+IF(OR(TYPE(I19)&gt;1,TYPE(MATCH(I19,O$11:O$139,0))&gt;1),0,MATCH(I19,O$11:O$139,0))+IF(OR(TYPE(I19)&gt;1,TYPE(MATCH(I19,U$11:U$139,0))&gt;1),0,MATCH(I19,U$11:U$139,0))+IF(OR(TYPE(I19)&gt;1,TYPE(MATCH(I19,AA$11:AA$139,0))&gt;1),0,MATCH(I19,AA$11:AA$139,0))</f>
        <v>0</v>
      </c>
      <c r="AO19" s="334">
        <f>IF(OR(TYPE(O19)&gt;1,TYPE(MATCH(O19,I$11:I$139,0))&gt;1),0,MATCH(O19,I$11:I$139,0))+IF(OR(TYPE(O19)&gt;1,TYPE(MATCH(O19,O20:O$139,0))&gt;1),0,MATCH(O19,O20:O$139,0))+IF(OR(TYPE(O19)&gt;1,TYPE(MATCH(O19,U$11:U$139,0))&gt;1),0,MATCH(O19,U$11:U$139,0))+IF(OR(TYPE(O19)&gt;1,TYPE(MATCH(O19,AA$11:AA$139,0))&gt;1),0,MATCH(O19,AA$11:AA$139,0))</f>
        <v>0</v>
      </c>
      <c r="AP19" s="334">
        <f>IF(OR(TYPE(U19)&gt;1,TYPE(MATCH(U19,I$11:I$139,0))&gt;1),0,MATCH(U19,I$11:I$139,0))+IF(OR(TYPE(U19)&gt;1,TYPE(MATCH(U19,O$11:O$139,0))&gt;1),0,MATCH(U19,O$11:O$139,0))+IF(OR(TYPE(U19)&gt;1,TYPE(MATCH(U19,U20:U$139,0))&gt;1),0,MATCH(U19,U20:U$139,0))+IF(OR(TYPE(U19)&gt;1,TYPE(MATCH(U19,AA$11:AA$139,0))&gt;1),0,MATCH(U19,AA$11:AA$139,0))</f>
        <v>0</v>
      </c>
      <c r="AQ19" s="334">
        <f>IF(OR(TYPE(AA19)&gt;1,TYPE(MATCH(AA19,I$11:I$139,0))&gt;1),0,MATCH(AA19,I$11:I$139,0))+IF(OR(TYPE(AA19)&gt;1,TYPE(MATCH(AA19,O$11:O$139,0))&gt;1),0,MATCH(AA19,O$11:O$139,0))+IF(OR(TYPE(AA19)&gt;1,TYPE(MATCH(AA19,U$11:U$139,0))&gt;1),0,MATCH(U19,U$11:U$139,0))+IF(OR(TYPE(AA19)&gt;1,TYPE(MATCH(AA19,AA20:AA$139,0))&gt;1),0,MATCH(AA19,AA20:AA$139,0))</f>
        <v>0</v>
      </c>
      <c r="AR19" s="334">
        <f t="shared" si="12"/>
        <v>0</v>
      </c>
      <c r="AT19" s="333">
        <f t="shared" si="13"/>
        <v>0</v>
      </c>
      <c r="AU19" s="333">
        <f>IF(AND(N(I19)&gt;0,TYPE(VLOOKUP(I19,Hraci!$A$5:$A$800,1,0))&gt;3),1,0) + IF(AND(N(O19)&gt;0,TYPE(VLOOKUP(O19,Hraci!$A$5:$A$800,1,0))&gt;3),1,0) + IF(AND(N(U19)&gt;0,TYPE(VLOOKUP(U19,Hraci!$A$5:$A$800,1,0))&gt;3),1,0)</f>
        <v>1</v>
      </c>
      <c r="BF19" s="334">
        <f t="shared" si="14"/>
        <v>9</v>
      </c>
    </row>
    <row r="20" spans="1:58" ht="14.25" x14ac:dyDescent="0.3">
      <c r="A20" s="358">
        <f t="shared" si="2"/>
        <v>2</v>
      </c>
      <c r="B20" s="358">
        <f t="shared" si="3"/>
        <v>1</v>
      </c>
      <c r="C20" s="358">
        <f t="shared" si="4"/>
        <v>52.625999999999998</v>
      </c>
      <c r="D20" s="358">
        <f t="shared" si="5"/>
        <v>10169</v>
      </c>
      <c r="E20" s="358">
        <f t="shared" si="6"/>
        <v>79</v>
      </c>
      <c r="F20" s="359" t="str">
        <f t="shared" ca="1" si="7"/>
        <v>91052626989830999920960811</v>
      </c>
      <c r="G20" s="398" t="b">
        <f t="shared" si="8"/>
        <v>0</v>
      </c>
      <c r="H20" s="399">
        <f t="shared" si="9"/>
        <v>10</v>
      </c>
      <c r="I20" s="400">
        <v>21768</v>
      </c>
      <c r="J20" s="401" t="s">
        <v>473</v>
      </c>
      <c r="K20" s="402" t="s">
        <v>54</v>
      </c>
      <c r="L20" s="402" t="s">
        <v>680</v>
      </c>
      <c r="M20" s="403">
        <v>79</v>
      </c>
      <c r="N20" s="404">
        <v>27.062999999999999</v>
      </c>
      <c r="O20" s="400">
        <v>23072</v>
      </c>
      <c r="P20" s="401" t="s">
        <v>475</v>
      </c>
      <c r="Q20" s="402" t="s">
        <v>346</v>
      </c>
      <c r="R20" s="402" t="s">
        <v>680</v>
      </c>
      <c r="S20" s="403">
        <v>91</v>
      </c>
      <c r="T20" s="404">
        <v>25.562999999999999</v>
      </c>
      <c r="U20" s="400" t="s">
        <v>2005</v>
      </c>
      <c r="V20" s="401" t="s">
        <v>1054</v>
      </c>
      <c r="W20" s="402" t="s">
        <v>1054</v>
      </c>
      <c r="X20" s="402" t="s">
        <v>1054</v>
      </c>
      <c r="Y20" s="403">
        <v>9999</v>
      </c>
      <c r="Z20" s="404">
        <v>0</v>
      </c>
      <c r="AA20" s="400" t="s">
        <v>2005</v>
      </c>
      <c r="AB20" s="401" t="s">
        <v>1054</v>
      </c>
      <c r="AC20" s="402" t="s">
        <v>1054</v>
      </c>
      <c r="AD20" s="402" t="s">
        <v>1054</v>
      </c>
      <c r="AE20" s="403">
        <v>9999</v>
      </c>
      <c r="AF20" s="404">
        <v>0</v>
      </c>
      <c r="AG20" s="409"/>
      <c r="AH20" s="445">
        <f ca="1">IF(TYPE(VLOOKUP(H20,Centrum!$A$3:$E$130,5,0))&lt;4,VLOOKUP(H20,Centrum!$A$3:$E$130,5,0),0)</f>
        <v>13</v>
      </c>
      <c r="AI20" s="405">
        <f ca="1">IF(N($AH20)&gt;0,VLOOKUP($AH20,Body!$A$4:$F$259,5,0),"")</f>
        <v>87.21667968749999</v>
      </c>
      <c r="AJ20" s="406">
        <f ca="1">IF(N($AH20)&gt;0,VLOOKUP($AH20,Body!$A$4:$F$259,6,0),"")</f>
        <v>0</v>
      </c>
      <c r="AK20" s="405">
        <f ca="1">IF(N($AH20)&gt;0,VLOOKUP($AH20,Body!$A$4:$F$259,2,0),"")</f>
        <v>2.375</v>
      </c>
      <c r="AL20" s="407" t="str">
        <f t="shared" si="10"/>
        <v>10 PC Kolová - Plucar Petr</v>
      </c>
      <c r="AM20" s="408">
        <f t="shared" si="11"/>
        <v>52.625999999999998</v>
      </c>
      <c r="AN20" s="334">
        <f>IF(OR(TYPE(I20)&gt;1,TYPE(MATCH(I20,I21:I$139,0))&gt;1),0,MATCH(I20,I21:I$139,0))+IF(OR(TYPE(I20)&gt;1,TYPE(MATCH(I20,O$11:O$139,0))&gt;1),0,MATCH(I20,O$11:O$139,0))+IF(OR(TYPE(I20)&gt;1,TYPE(MATCH(I20,U$11:U$139,0))&gt;1),0,MATCH(I20,U$11:U$139,0))+IF(OR(TYPE(I20)&gt;1,TYPE(MATCH(I20,AA$11:AA$139,0))&gt;1),0,MATCH(I20,AA$11:AA$139,0))</f>
        <v>0</v>
      </c>
      <c r="AO20" s="334">
        <f>IF(OR(TYPE(O20)&gt;1,TYPE(MATCH(O20,I$11:I$139,0))&gt;1),0,MATCH(O20,I$11:I$139,0))+IF(OR(TYPE(O20)&gt;1,TYPE(MATCH(O20,O21:O$139,0))&gt;1),0,MATCH(O20,O21:O$139,0))+IF(OR(TYPE(O20)&gt;1,TYPE(MATCH(O20,U$11:U$139,0))&gt;1),0,MATCH(O20,U$11:U$139,0))+IF(OR(TYPE(O20)&gt;1,TYPE(MATCH(O20,AA$11:AA$139,0))&gt;1),0,MATCH(O20,AA$11:AA$139,0))</f>
        <v>0</v>
      </c>
      <c r="AP20" s="334">
        <f>IF(OR(TYPE(U20)&gt;1,TYPE(MATCH(U20,I$11:I$139,0))&gt;1),0,MATCH(U20,I$11:I$139,0))+IF(OR(TYPE(U20)&gt;1,TYPE(MATCH(U20,O$11:O$139,0))&gt;1),0,MATCH(U20,O$11:O$139,0))+IF(OR(TYPE(U20)&gt;1,TYPE(MATCH(U20,U21:U$139,0))&gt;1),0,MATCH(U20,U21:U$139,0))+IF(OR(TYPE(U20)&gt;1,TYPE(MATCH(U20,AA$11:AA$139,0))&gt;1),0,MATCH(U20,AA$11:AA$139,0))</f>
        <v>0</v>
      </c>
      <c r="AQ20" s="334">
        <f>IF(OR(TYPE(AA20)&gt;1,TYPE(MATCH(AA20,I$11:I$139,0))&gt;1),0,MATCH(AA20,I$11:I$139,0))+IF(OR(TYPE(AA20)&gt;1,TYPE(MATCH(AA20,O$11:O$139,0))&gt;1),0,MATCH(AA20,O$11:O$139,0))+IF(OR(TYPE(AA20)&gt;1,TYPE(MATCH(AA20,U$11:U$139,0))&gt;1),0,MATCH(U20,U$11:U$139,0))+IF(OR(TYPE(AA20)&gt;1,TYPE(MATCH(AA20,AA21:AA$139,0))&gt;1),0,MATCH(AA20,AA21:AA$139,0))</f>
        <v>0</v>
      </c>
      <c r="AR20" s="334">
        <f t="shared" si="12"/>
        <v>0</v>
      </c>
      <c r="AT20" s="333">
        <f t="shared" si="13"/>
        <v>0</v>
      </c>
      <c r="AU20" s="333">
        <f>IF(AND(N(I20)&gt;0,TYPE(VLOOKUP(I20,Hraci!$A$5:$A$800,1,0))&gt;3),1,0) + IF(AND(N(O20)&gt;0,TYPE(VLOOKUP(O20,Hraci!$A$5:$A$800,1,0))&gt;3),1,0) + IF(AND(N(U20)&gt;0,TYPE(VLOOKUP(U20,Hraci!$A$5:$A$800,1,0))&gt;3),1,0)</f>
        <v>0</v>
      </c>
      <c r="BF20" s="334">
        <f t="shared" si="14"/>
        <v>10</v>
      </c>
    </row>
    <row r="21" spans="1:58" ht="14.25" x14ac:dyDescent="0.3">
      <c r="A21" s="358">
        <f t="shared" si="2"/>
        <v>2</v>
      </c>
      <c r="B21" s="358">
        <f t="shared" si="3"/>
        <v>1</v>
      </c>
      <c r="C21" s="358">
        <f t="shared" si="4"/>
        <v>51.126999999999995</v>
      </c>
      <c r="D21" s="358">
        <f t="shared" si="5"/>
        <v>10270</v>
      </c>
      <c r="E21" s="358">
        <f t="shared" si="6"/>
        <v>108</v>
      </c>
      <c r="F21" s="359" t="str">
        <f t="shared" ca="1" si="7"/>
        <v>91051127989729999891502636</v>
      </c>
      <c r="G21" s="398" t="b">
        <f t="shared" si="8"/>
        <v>0</v>
      </c>
      <c r="H21" s="399">
        <f t="shared" si="9"/>
        <v>11</v>
      </c>
      <c r="I21" s="400">
        <v>14074</v>
      </c>
      <c r="J21" s="401" t="s">
        <v>1486</v>
      </c>
      <c r="K21" s="402" t="s">
        <v>94</v>
      </c>
      <c r="L21" s="402" t="s">
        <v>1116</v>
      </c>
      <c r="M21" s="403">
        <v>163</v>
      </c>
      <c r="N21" s="404">
        <v>21.939</v>
      </c>
      <c r="O21" s="400">
        <v>96217</v>
      </c>
      <c r="P21" s="401" t="s">
        <v>183</v>
      </c>
      <c r="Q21" s="402" t="s">
        <v>184</v>
      </c>
      <c r="R21" s="402" t="s">
        <v>1116</v>
      </c>
      <c r="S21" s="403">
        <v>108</v>
      </c>
      <c r="T21" s="404">
        <v>29.187999999999999</v>
      </c>
      <c r="U21" s="400" t="s">
        <v>2005</v>
      </c>
      <c r="V21" s="401" t="s">
        <v>1054</v>
      </c>
      <c r="W21" s="402" t="s">
        <v>1054</v>
      </c>
      <c r="X21" s="402" t="s">
        <v>1054</v>
      </c>
      <c r="Y21" s="403">
        <v>9999</v>
      </c>
      <c r="Z21" s="404">
        <v>0</v>
      </c>
      <c r="AA21" s="400" t="s">
        <v>2005</v>
      </c>
      <c r="AB21" s="401" t="s">
        <v>1054</v>
      </c>
      <c r="AC21" s="402" t="s">
        <v>1054</v>
      </c>
      <c r="AD21" s="402" t="s">
        <v>1054</v>
      </c>
      <c r="AE21" s="403">
        <v>9999</v>
      </c>
      <c r="AF21" s="404">
        <v>0</v>
      </c>
      <c r="AG21" s="409"/>
      <c r="AH21" s="445">
        <f ca="1">IF(TYPE(VLOOKUP(H21,Centrum!$A$3:$E$130,5,0))&lt;4,VLOOKUP(H21,Centrum!$A$3:$E$130,5,0),0)</f>
        <v>6</v>
      </c>
      <c r="AI21" s="405">
        <f ca="1">IF(N($AH21)&gt;0,VLOOKUP($AH21,Body!$A$4:$F$259,5,0),"")</f>
        <v>128.52984375</v>
      </c>
      <c r="AJ21" s="406">
        <f ca="1">IF(N($AH21)&gt;0,VLOOKUP($AH21,Body!$A$4:$F$259,6,0),"")</f>
        <v>0</v>
      </c>
      <c r="AK21" s="405">
        <f ca="1">IF(N($AH21)&gt;0,VLOOKUP($AH21,Body!$A$4:$F$259,2,0),"")</f>
        <v>3.5</v>
      </c>
      <c r="AL21" s="407" t="str">
        <f t="shared" si="10"/>
        <v>11 PC Sokol Lipník - Froňková Blanka</v>
      </c>
      <c r="AM21" s="408">
        <f t="shared" si="11"/>
        <v>51.126999999999995</v>
      </c>
      <c r="AN21" s="334">
        <f>IF(OR(TYPE(I21)&gt;1,TYPE(MATCH(I21,I22:I$139,0))&gt;1),0,MATCH(I21,I22:I$139,0))+IF(OR(TYPE(I21)&gt;1,TYPE(MATCH(I21,O$11:O$139,0))&gt;1),0,MATCH(I21,O$11:O$139,0))+IF(OR(TYPE(I21)&gt;1,TYPE(MATCH(I21,U$11:U$139,0))&gt;1),0,MATCH(I21,U$11:U$139,0))+IF(OR(TYPE(I21)&gt;1,TYPE(MATCH(I21,AA$11:AA$139,0))&gt;1),0,MATCH(I21,AA$11:AA$139,0))</f>
        <v>0</v>
      </c>
      <c r="AO21" s="334">
        <f>IF(OR(TYPE(O21)&gt;1,TYPE(MATCH(O21,I$11:I$139,0))&gt;1),0,MATCH(O21,I$11:I$139,0))+IF(OR(TYPE(O21)&gt;1,TYPE(MATCH(O21,O22:O$139,0))&gt;1),0,MATCH(O21,O22:O$139,0))+IF(OR(TYPE(O21)&gt;1,TYPE(MATCH(O21,U$11:U$139,0))&gt;1),0,MATCH(O21,U$11:U$139,0))+IF(OR(TYPE(O21)&gt;1,TYPE(MATCH(O21,AA$11:AA$139,0))&gt;1),0,MATCH(O21,AA$11:AA$139,0))</f>
        <v>0</v>
      </c>
      <c r="AP21" s="334">
        <f>IF(OR(TYPE(U21)&gt;1,TYPE(MATCH(U21,I$11:I$139,0))&gt;1),0,MATCH(U21,I$11:I$139,0))+IF(OR(TYPE(U21)&gt;1,TYPE(MATCH(U21,O$11:O$139,0))&gt;1),0,MATCH(U21,O$11:O$139,0))+IF(OR(TYPE(U21)&gt;1,TYPE(MATCH(U21,U22:U$139,0))&gt;1),0,MATCH(U21,U22:U$139,0))+IF(OR(TYPE(U21)&gt;1,TYPE(MATCH(U21,AA$11:AA$139,0))&gt;1),0,MATCH(U21,AA$11:AA$139,0))</f>
        <v>0</v>
      </c>
      <c r="AQ21" s="334">
        <f>IF(OR(TYPE(AA21)&gt;1,TYPE(MATCH(AA21,I$11:I$139,0))&gt;1),0,MATCH(AA21,I$11:I$139,0))+IF(OR(TYPE(AA21)&gt;1,TYPE(MATCH(AA21,O$11:O$139,0))&gt;1),0,MATCH(AA21,O$11:O$139,0))+IF(OR(TYPE(AA21)&gt;1,TYPE(MATCH(AA21,U$11:U$139,0))&gt;1),0,MATCH(U21,U$11:U$139,0))+IF(OR(TYPE(AA21)&gt;1,TYPE(MATCH(AA21,AA22:AA$139,0))&gt;1),0,MATCH(AA21,AA22:AA$139,0))</f>
        <v>0</v>
      </c>
      <c r="AR21" s="334">
        <f t="shared" si="12"/>
        <v>0</v>
      </c>
      <c r="AT21" s="333">
        <f t="shared" si="13"/>
        <v>0</v>
      </c>
      <c r="AU21" s="333">
        <f>IF(AND(N(I21)&gt;0,TYPE(VLOOKUP(I21,Hraci!$A$5:$A$800,1,0))&gt;3),1,0) + IF(AND(N(O21)&gt;0,TYPE(VLOOKUP(O21,Hraci!$A$5:$A$800,1,0))&gt;3),1,0) + IF(AND(N(U21)&gt;0,TYPE(VLOOKUP(U21,Hraci!$A$5:$A$800,1,0))&gt;3),1,0)</f>
        <v>0</v>
      </c>
      <c r="BF21" s="334">
        <f t="shared" si="14"/>
        <v>11</v>
      </c>
    </row>
    <row r="22" spans="1:58" ht="14.25" x14ac:dyDescent="0.3">
      <c r="A22" s="358">
        <f t="shared" si="2"/>
        <v>2</v>
      </c>
      <c r="B22" s="358">
        <f t="shared" si="3"/>
        <v>1</v>
      </c>
      <c r="C22" s="358">
        <f t="shared" si="4"/>
        <v>49.252000000000002</v>
      </c>
      <c r="D22" s="358">
        <f t="shared" si="5"/>
        <v>10303</v>
      </c>
      <c r="E22" s="358">
        <f t="shared" si="6"/>
        <v>72</v>
      </c>
      <c r="F22" s="359" t="str">
        <f t="shared" ca="1" si="7"/>
        <v>91049252989696999927978221</v>
      </c>
      <c r="G22" s="398" t="b">
        <f t="shared" si="8"/>
        <v>0</v>
      </c>
      <c r="H22" s="399">
        <f t="shared" si="9"/>
        <v>12</v>
      </c>
      <c r="I22" s="400">
        <v>29049</v>
      </c>
      <c r="J22" s="401" t="s">
        <v>398</v>
      </c>
      <c r="K22" s="402" t="s">
        <v>72</v>
      </c>
      <c r="L22" s="402" t="s">
        <v>1142</v>
      </c>
      <c r="M22" s="403">
        <v>72</v>
      </c>
      <c r="N22" s="404">
        <v>37.375</v>
      </c>
      <c r="O22" s="400">
        <v>15064</v>
      </c>
      <c r="P22" s="401" t="s">
        <v>1610</v>
      </c>
      <c r="Q22" s="402" t="s">
        <v>12</v>
      </c>
      <c r="R22" s="402" t="s">
        <v>1142</v>
      </c>
      <c r="S22" s="403">
        <v>232</v>
      </c>
      <c r="T22" s="404">
        <v>11.877000000000001</v>
      </c>
      <c r="U22" s="400" t="s">
        <v>2005</v>
      </c>
      <c r="V22" s="401" t="s">
        <v>1054</v>
      </c>
      <c r="W22" s="402" t="s">
        <v>1054</v>
      </c>
      <c r="X22" s="402" t="s">
        <v>1054</v>
      </c>
      <c r="Y22" s="403">
        <v>9999</v>
      </c>
      <c r="Z22" s="404">
        <v>0</v>
      </c>
      <c r="AA22" s="400" t="s">
        <v>2005</v>
      </c>
      <c r="AB22" s="401" t="s">
        <v>1054</v>
      </c>
      <c r="AC22" s="402" t="s">
        <v>1054</v>
      </c>
      <c r="AD22" s="402" t="s">
        <v>1054</v>
      </c>
      <c r="AE22" s="403">
        <v>9999</v>
      </c>
      <c r="AF22" s="404">
        <v>0</v>
      </c>
      <c r="AG22" s="409"/>
      <c r="AH22" s="445">
        <f ca="1">IF(TYPE(VLOOKUP(H22,Centrum!$A$3:$E$130,5,0))&lt;4,VLOOKUP(H22,Centrum!$A$3:$E$130,5,0),0)</f>
        <v>9</v>
      </c>
      <c r="AI22" s="405">
        <f ca="1">IF(N($AH22)&gt;0,VLOOKUP($AH22,Body!$A$4:$F$259,5,0),"")</f>
        <v>105.57808593749999</v>
      </c>
      <c r="AJ22" s="406">
        <f ca="1">IF(N($AH22)&gt;0,VLOOKUP($AH22,Body!$A$4:$F$259,6,0),"")</f>
        <v>0</v>
      </c>
      <c r="AK22" s="405">
        <f ca="1">IF(N($AH22)&gt;0,VLOOKUP($AH22,Body!$A$4:$F$259,2,0),"")</f>
        <v>2.875</v>
      </c>
      <c r="AL22" s="407" t="str">
        <f t="shared" si="10"/>
        <v>12 CdP Loděnice - Marhoul Jan</v>
      </c>
      <c r="AM22" s="408">
        <f t="shared" si="11"/>
        <v>49.252000000000002</v>
      </c>
      <c r="AN22" s="334">
        <f>IF(OR(TYPE(I22)&gt;1,TYPE(MATCH(I22,I23:I$139,0))&gt;1),0,MATCH(I22,I23:I$139,0))+IF(OR(TYPE(I22)&gt;1,TYPE(MATCH(I22,O$11:O$139,0))&gt;1),0,MATCH(I22,O$11:O$139,0))+IF(OR(TYPE(I22)&gt;1,TYPE(MATCH(I22,U$11:U$139,0))&gt;1),0,MATCH(I22,U$11:U$139,0))+IF(OR(TYPE(I22)&gt;1,TYPE(MATCH(I22,AA$11:AA$139,0))&gt;1),0,MATCH(I22,AA$11:AA$139,0))</f>
        <v>0</v>
      </c>
      <c r="AO22" s="334">
        <f>IF(OR(TYPE(O22)&gt;1,TYPE(MATCH(O22,I$11:I$139,0))&gt;1),0,MATCH(O22,I$11:I$139,0))+IF(OR(TYPE(O22)&gt;1,TYPE(MATCH(O22,O23:O$139,0))&gt;1),0,MATCH(O22,O23:O$139,0))+IF(OR(TYPE(O22)&gt;1,TYPE(MATCH(O22,U$11:U$139,0))&gt;1),0,MATCH(O22,U$11:U$139,0))+IF(OR(TYPE(O22)&gt;1,TYPE(MATCH(O22,AA$11:AA$139,0))&gt;1),0,MATCH(O22,AA$11:AA$139,0))</f>
        <v>0</v>
      </c>
      <c r="AP22" s="334">
        <f>IF(OR(TYPE(U22)&gt;1,TYPE(MATCH(U22,I$11:I$139,0))&gt;1),0,MATCH(U22,I$11:I$139,0))+IF(OR(TYPE(U22)&gt;1,TYPE(MATCH(U22,O$11:O$139,0))&gt;1),0,MATCH(U22,O$11:O$139,0))+IF(OR(TYPE(U22)&gt;1,TYPE(MATCH(U22,U23:U$139,0))&gt;1),0,MATCH(U22,U23:U$139,0))+IF(OR(TYPE(U22)&gt;1,TYPE(MATCH(U22,AA$11:AA$139,0))&gt;1),0,MATCH(U22,AA$11:AA$139,0))</f>
        <v>0</v>
      </c>
      <c r="AQ22" s="334">
        <f>IF(OR(TYPE(AA22)&gt;1,TYPE(MATCH(AA22,I$11:I$139,0))&gt;1),0,MATCH(AA22,I$11:I$139,0))+IF(OR(TYPE(AA22)&gt;1,TYPE(MATCH(AA22,O$11:O$139,0))&gt;1),0,MATCH(AA22,O$11:O$139,0))+IF(OR(TYPE(AA22)&gt;1,TYPE(MATCH(AA22,U$11:U$139,0))&gt;1),0,MATCH(U22,U$11:U$139,0))+IF(OR(TYPE(AA22)&gt;1,TYPE(MATCH(AA22,AA23:AA$139,0))&gt;1),0,MATCH(AA22,AA23:AA$139,0))</f>
        <v>0</v>
      </c>
      <c r="AR22" s="334">
        <f t="shared" si="12"/>
        <v>0</v>
      </c>
      <c r="AT22" s="333">
        <f t="shared" si="13"/>
        <v>0</v>
      </c>
      <c r="AU22" s="333">
        <f>IF(AND(N(I22)&gt;0,TYPE(VLOOKUP(I22,Hraci!$A$5:$A$800,1,0))&gt;3),1,0) + IF(AND(N(O22)&gt;0,TYPE(VLOOKUP(O22,Hraci!$A$5:$A$800,1,0))&gt;3),1,0) + IF(AND(N(U22)&gt;0,TYPE(VLOOKUP(U22,Hraci!$A$5:$A$800,1,0))&gt;3),1,0)</f>
        <v>0</v>
      </c>
      <c r="BF22" s="334">
        <f t="shared" si="14"/>
        <v>12</v>
      </c>
    </row>
    <row r="23" spans="1:58" ht="14.25" x14ac:dyDescent="0.3">
      <c r="A23" s="358">
        <f t="shared" si="2"/>
        <v>2</v>
      </c>
      <c r="B23" s="358">
        <f t="shared" si="3"/>
        <v>1</v>
      </c>
      <c r="C23" s="358">
        <f t="shared" si="4"/>
        <v>48.533000000000001</v>
      </c>
      <c r="D23" s="358">
        <f t="shared" si="5"/>
        <v>10248</v>
      </c>
      <c r="E23" s="358">
        <f t="shared" si="6"/>
        <v>115</v>
      </c>
      <c r="F23" s="359" t="str">
        <f t="shared" ca="1" si="7"/>
        <v>91048533989751999884600549</v>
      </c>
      <c r="G23" s="398" t="b">
        <f t="shared" si="8"/>
        <v>0</v>
      </c>
      <c r="H23" s="399">
        <f t="shared" si="9"/>
        <v>13</v>
      </c>
      <c r="I23" s="400">
        <v>13044</v>
      </c>
      <c r="J23" s="401" t="s">
        <v>1270</v>
      </c>
      <c r="K23" s="402" t="s">
        <v>20</v>
      </c>
      <c r="L23" s="402" t="s">
        <v>1116</v>
      </c>
      <c r="M23" s="403">
        <v>115</v>
      </c>
      <c r="N23" s="404">
        <v>25.094000000000001</v>
      </c>
      <c r="O23" s="400">
        <v>25011</v>
      </c>
      <c r="P23" s="401" t="s">
        <v>273</v>
      </c>
      <c r="Q23" s="402" t="s">
        <v>34</v>
      </c>
      <c r="R23" s="402" t="s">
        <v>1170</v>
      </c>
      <c r="S23" s="403">
        <v>134</v>
      </c>
      <c r="T23" s="404">
        <v>23.439</v>
      </c>
      <c r="U23" s="400" t="s">
        <v>2005</v>
      </c>
      <c r="V23" s="401" t="s">
        <v>1054</v>
      </c>
      <c r="W23" s="402" t="s">
        <v>1054</v>
      </c>
      <c r="X23" s="402" t="s">
        <v>1054</v>
      </c>
      <c r="Y23" s="403">
        <v>9999</v>
      </c>
      <c r="Z23" s="404">
        <v>0</v>
      </c>
      <c r="AA23" s="400" t="s">
        <v>2005</v>
      </c>
      <c r="AB23" s="401" t="s">
        <v>1054</v>
      </c>
      <c r="AC23" s="402" t="s">
        <v>1054</v>
      </c>
      <c r="AD23" s="402" t="s">
        <v>1054</v>
      </c>
      <c r="AE23" s="403">
        <v>9999</v>
      </c>
      <c r="AF23" s="404">
        <v>0</v>
      </c>
      <c r="AG23" s="409"/>
      <c r="AH23" s="445">
        <v>26</v>
      </c>
      <c r="AI23" s="405">
        <f>IF(N($AH23)&gt;0,VLOOKUP($AH23,Body!$A$4:$F$259,5,0),"")</f>
        <v>50.493867187499994</v>
      </c>
      <c r="AJ23" s="406">
        <f>IF(N($AH23)&gt;0,VLOOKUP($AH23,Body!$A$4:$F$259,6,0),"")</f>
        <v>0</v>
      </c>
      <c r="AK23" s="405">
        <f>IF(N($AH23)&gt;0,VLOOKUP($AH23,Body!$A$4:$F$259,2,0),"")</f>
        <v>1.375</v>
      </c>
      <c r="AL23" s="407" t="str">
        <f t="shared" si="10"/>
        <v>13 PC Sokol Lipník - Fafková Jana</v>
      </c>
      <c r="AM23" s="408">
        <f t="shared" si="11"/>
        <v>48.533000000000001</v>
      </c>
      <c r="AN23" s="334">
        <f>IF(OR(TYPE(I23)&gt;1,TYPE(MATCH(I23,I24:I$139,0))&gt;1),0,MATCH(I23,I24:I$139,0))+IF(OR(TYPE(I23)&gt;1,TYPE(MATCH(I23,O$11:O$139,0))&gt;1),0,MATCH(I23,O$11:O$139,0))+IF(OR(TYPE(I23)&gt;1,TYPE(MATCH(I23,U$11:U$139,0))&gt;1),0,MATCH(I23,U$11:U$139,0))+IF(OR(TYPE(I23)&gt;1,TYPE(MATCH(I23,AA$11:AA$139,0))&gt;1),0,MATCH(I23,AA$11:AA$139,0))</f>
        <v>0</v>
      </c>
      <c r="AO23" s="334">
        <f>IF(OR(TYPE(O23)&gt;1,TYPE(MATCH(O23,I$11:I$139,0))&gt;1),0,MATCH(O23,I$11:I$139,0))+IF(OR(TYPE(O23)&gt;1,TYPE(MATCH(O23,O24:O$139,0))&gt;1),0,MATCH(O23,O24:O$139,0))+IF(OR(TYPE(O23)&gt;1,TYPE(MATCH(O23,U$11:U$139,0))&gt;1),0,MATCH(O23,U$11:U$139,0))+IF(OR(TYPE(O23)&gt;1,TYPE(MATCH(O23,AA$11:AA$139,0))&gt;1),0,MATCH(O23,AA$11:AA$139,0))</f>
        <v>0</v>
      </c>
      <c r="AP23" s="334">
        <f>IF(OR(TYPE(U23)&gt;1,TYPE(MATCH(U23,I$11:I$139,0))&gt;1),0,MATCH(U23,I$11:I$139,0))+IF(OR(TYPE(U23)&gt;1,TYPE(MATCH(U23,O$11:O$139,0))&gt;1),0,MATCH(U23,O$11:O$139,0))+IF(OR(TYPE(U23)&gt;1,TYPE(MATCH(U23,U24:U$139,0))&gt;1),0,MATCH(U23,U24:U$139,0))+IF(OR(TYPE(U23)&gt;1,TYPE(MATCH(U23,AA$11:AA$139,0))&gt;1),0,MATCH(U23,AA$11:AA$139,0))</f>
        <v>0</v>
      </c>
      <c r="AQ23" s="334">
        <f>IF(OR(TYPE(AA23)&gt;1,TYPE(MATCH(AA23,I$11:I$139,0))&gt;1),0,MATCH(AA23,I$11:I$139,0))+IF(OR(TYPE(AA23)&gt;1,TYPE(MATCH(AA23,O$11:O$139,0))&gt;1),0,MATCH(AA23,O$11:O$139,0))+IF(OR(TYPE(AA23)&gt;1,TYPE(MATCH(AA23,U$11:U$139,0))&gt;1),0,MATCH(U23,U$11:U$139,0))+IF(OR(TYPE(AA23)&gt;1,TYPE(MATCH(AA23,AA24:AA$139,0))&gt;1),0,MATCH(AA23,AA24:AA$139,0))</f>
        <v>0</v>
      </c>
      <c r="AR23" s="334">
        <f t="shared" si="12"/>
        <v>0</v>
      </c>
      <c r="AT23" s="333">
        <f t="shared" si="13"/>
        <v>0</v>
      </c>
      <c r="AU23" s="333">
        <f>IF(AND(N(I23)&gt;0,TYPE(VLOOKUP(I23,Hraci!$A$5:$A$800,1,0))&gt;3),1,0) + IF(AND(N(O23)&gt;0,TYPE(VLOOKUP(O23,Hraci!$A$5:$A$800,1,0))&gt;3),1,0) + IF(AND(N(U23)&gt;0,TYPE(VLOOKUP(U23,Hraci!$A$5:$A$800,1,0))&gt;3),1,0)</f>
        <v>0</v>
      </c>
      <c r="BF23" s="334">
        <f t="shared" si="14"/>
        <v>13</v>
      </c>
    </row>
    <row r="24" spans="1:58" ht="14.25" x14ac:dyDescent="0.3">
      <c r="A24" s="358">
        <f t="shared" si="2"/>
        <v>2</v>
      </c>
      <c r="B24" s="358">
        <f t="shared" si="3"/>
        <v>1</v>
      </c>
      <c r="C24" s="358">
        <f t="shared" si="4"/>
        <v>46.816000000000003</v>
      </c>
      <c r="D24" s="358">
        <f t="shared" si="5"/>
        <v>10296</v>
      </c>
      <c r="E24" s="358">
        <f t="shared" si="6"/>
        <v>90</v>
      </c>
      <c r="F24" s="359" t="str">
        <f t="shared" ca="1" si="7"/>
        <v>91046816989703999909264951</v>
      </c>
      <c r="G24" s="398" t="b">
        <f t="shared" si="8"/>
        <v>0</v>
      </c>
      <c r="H24" s="399">
        <f t="shared" si="9"/>
        <v>14</v>
      </c>
      <c r="I24" s="400">
        <v>10159</v>
      </c>
      <c r="J24" s="401" t="s">
        <v>581</v>
      </c>
      <c r="K24" s="402" t="s">
        <v>582</v>
      </c>
      <c r="L24" s="402" t="s">
        <v>1506</v>
      </c>
      <c r="M24" s="403">
        <v>207</v>
      </c>
      <c r="N24" s="404">
        <v>16.251999999999999</v>
      </c>
      <c r="O24" s="400">
        <v>10163</v>
      </c>
      <c r="P24" s="401" t="s">
        <v>583</v>
      </c>
      <c r="Q24" s="402" t="s">
        <v>98</v>
      </c>
      <c r="R24" s="402" t="s">
        <v>1506</v>
      </c>
      <c r="S24" s="403">
        <v>90</v>
      </c>
      <c r="T24" s="404">
        <v>30.564</v>
      </c>
      <c r="U24" s="400" t="s">
        <v>2005</v>
      </c>
      <c r="V24" s="401" t="s">
        <v>1054</v>
      </c>
      <c r="W24" s="402" t="s">
        <v>1054</v>
      </c>
      <c r="X24" s="402" t="s">
        <v>1054</v>
      </c>
      <c r="Y24" s="403">
        <v>9999</v>
      </c>
      <c r="Z24" s="404">
        <v>0</v>
      </c>
      <c r="AA24" s="400" t="s">
        <v>2005</v>
      </c>
      <c r="AB24" s="401" t="s">
        <v>1054</v>
      </c>
      <c r="AC24" s="402" t="s">
        <v>1054</v>
      </c>
      <c r="AD24" s="402" t="s">
        <v>1054</v>
      </c>
      <c r="AE24" s="403">
        <v>9999</v>
      </c>
      <c r="AF24" s="404">
        <v>0</v>
      </c>
      <c r="AG24" s="409"/>
      <c r="AH24" s="445">
        <v>25</v>
      </c>
      <c r="AI24" s="405">
        <f>IF(N($AH24)&gt;0,VLOOKUP($AH24,Body!$A$4:$F$259,5,0),"")</f>
        <v>52.789042968749996</v>
      </c>
      <c r="AJ24" s="406">
        <f>IF(N($AH24)&gt;0,VLOOKUP($AH24,Body!$A$4:$F$259,6,0),"")</f>
        <v>0</v>
      </c>
      <c r="AK24" s="405">
        <f>IF(N($AH24)&gt;0,VLOOKUP($AH24,Body!$A$4:$F$259,2,0),"")</f>
        <v>1.4375</v>
      </c>
      <c r="AL24" s="407" t="str">
        <f t="shared" si="10"/>
        <v>14 Sokol Kostomlaty - Vaníček Rudolf</v>
      </c>
      <c r="AM24" s="408">
        <f t="shared" si="11"/>
        <v>46.816000000000003</v>
      </c>
      <c r="AN24" s="334">
        <f>IF(OR(TYPE(I24)&gt;1,TYPE(MATCH(I24,I25:I$139,0))&gt;1),0,MATCH(I24,I25:I$139,0))+IF(OR(TYPE(I24)&gt;1,TYPE(MATCH(I24,O$11:O$139,0))&gt;1),0,MATCH(I24,O$11:O$139,0))+IF(OR(TYPE(I24)&gt;1,TYPE(MATCH(I24,U$11:U$139,0))&gt;1),0,MATCH(I24,U$11:U$139,0))+IF(OR(TYPE(I24)&gt;1,TYPE(MATCH(I24,AA$11:AA$139,0))&gt;1),0,MATCH(I24,AA$11:AA$139,0))</f>
        <v>0</v>
      </c>
      <c r="AO24" s="334">
        <f>IF(OR(TYPE(O24)&gt;1,TYPE(MATCH(O24,I$11:I$139,0))&gt;1),0,MATCH(O24,I$11:I$139,0))+IF(OR(TYPE(O24)&gt;1,TYPE(MATCH(O24,O25:O$139,0))&gt;1),0,MATCH(O24,O25:O$139,0))+IF(OR(TYPE(O24)&gt;1,TYPE(MATCH(O24,U$11:U$139,0))&gt;1),0,MATCH(O24,U$11:U$139,0))+IF(OR(TYPE(O24)&gt;1,TYPE(MATCH(O24,AA$11:AA$139,0))&gt;1),0,MATCH(O24,AA$11:AA$139,0))</f>
        <v>0</v>
      </c>
      <c r="AP24" s="334">
        <f>IF(OR(TYPE(U24)&gt;1,TYPE(MATCH(U24,I$11:I$139,0))&gt;1),0,MATCH(U24,I$11:I$139,0))+IF(OR(TYPE(U24)&gt;1,TYPE(MATCH(U24,O$11:O$139,0))&gt;1),0,MATCH(U24,O$11:O$139,0))+IF(OR(TYPE(U24)&gt;1,TYPE(MATCH(U24,U25:U$139,0))&gt;1),0,MATCH(U24,U25:U$139,0))+IF(OR(TYPE(U24)&gt;1,TYPE(MATCH(U24,AA$11:AA$139,0))&gt;1),0,MATCH(U24,AA$11:AA$139,0))</f>
        <v>0</v>
      </c>
      <c r="AQ24" s="334">
        <f>IF(OR(TYPE(AA24)&gt;1,TYPE(MATCH(AA24,I$11:I$139,0))&gt;1),0,MATCH(AA24,I$11:I$139,0))+IF(OR(TYPE(AA24)&gt;1,TYPE(MATCH(AA24,O$11:O$139,0))&gt;1),0,MATCH(AA24,O$11:O$139,0))+IF(OR(TYPE(AA24)&gt;1,TYPE(MATCH(AA24,U$11:U$139,0))&gt;1),0,MATCH(U24,U$11:U$139,0))+IF(OR(TYPE(AA24)&gt;1,TYPE(MATCH(AA24,AA25:AA$139,0))&gt;1),0,MATCH(AA24,AA25:AA$139,0))</f>
        <v>0</v>
      </c>
      <c r="AR24" s="334">
        <f t="shared" si="12"/>
        <v>0</v>
      </c>
      <c r="AT24" s="333">
        <f t="shared" si="13"/>
        <v>0</v>
      </c>
      <c r="AU24" s="333">
        <f>IF(AND(N(I24)&gt;0,TYPE(VLOOKUP(I24,Hraci!$A$5:$A$800,1,0))&gt;3),1,0) + IF(AND(N(O24)&gt;0,TYPE(VLOOKUP(O24,Hraci!$A$5:$A$800,1,0))&gt;3),1,0) + IF(AND(N(U24)&gt;0,TYPE(VLOOKUP(U24,Hraci!$A$5:$A$800,1,0))&gt;3),1,0)</f>
        <v>0</v>
      </c>
      <c r="BF24" s="334">
        <f t="shared" si="14"/>
        <v>14</v>
      </c>
    </row>
    <row r="25" spans="1:58" ht="14.25" x14ac:dyDescent="0.3">
      <c r="A25" s="358">
        <f t="shared" si="2"/>
        <v>2</v>
      </c>
      <c r="B25" s="358">
        <f t="shared" si="3"/>
        <v>1</v>
      </c>
      <c r="C25" s="358">
        <f t="shared" si="4"/>
        <v>41.754000000000005</v>
      </c>
      <c r="D25" s="358">
        <f t="shared" si="5"/>
        <v>10311</v>
      </c>
      <c r="E25" s="358">
        <f t="shared" si="6"/>
        <v>150</v>
      </c>
      <c r="F25" s="359" t="str">
        <f t="shared" ca="1" si="7"/>
        <v>91041754989688999849516237</v>
      </c>
      <c r="G25" s="398" t="b">
        <f t="shared" si="8"/>
        <v>0</v>
      </c>
      <c r="H25" s="399">
        <f t="shared" si="9"/>
        <v>15</v>
      </c>
      <c r="I25" s="400">
        <v>12083</v>
      </c>
      <c r="J25" s="401" t="s">
        <v>1206</v>
      </c>
      <c r="K25" s="402" t="s">
        <v>228</v>
      </c>
      <c r="L25" s="402" t="s">
        <v>58</v>
      </c>
      <c r="M25" s="403">
        <v>150</v>
      </c>
      <c r="N25" s="404">
        <v>21.033000000000001</v>
      </c>
      <c r="O25" s="400">
        <v>12085</v>
      </c>
      <c r="P25" s="401" t="s">
        <v>1196</v>
      </c>
      <c r="Q25" s="402" t="s">
        <v>18</v>
      </c>
      <c r="R25" s="402" t="s">
        <v>58</v>
      </c>
      <c r="S25" s="403">
        <v>162</v>
      </c>
      <c r="T25" s="404">
        <v>20.721</v>
      </c>
      <c r="U25" s="400" t="s">
        <v>2005</v>
      </c>
      <c r="V25" s="401" t="s">
        <v>1054</v>
      </c>
      <c r="W25" s="402" t="s">
        <v>1054</v>
      </c>
      <c r="X25" s="402" t="s">
        <v>1054</v>
      </c>
      <c r="Y25" s="403">
        <v>9999</v>
      </c>
      <c r="Z25" s="404">
        <v>0</v>
      </c>
      <c r="AA25" s="400" t="s">
        <v>2005</v>
      </c>
      <c r="AB25" s="401" t="s">
        <v>1054</v>
      </c>
      <c r="AC25" s="402" t="s">
        <v>1054</v>
      </c>
      <c r="AD25" s="402" t="s">
        <v>1054</v>
      </c>
      <c r="AE25" s="403">
        <v>9999</v>
      </c>
      <c r="AF25" s="404">
        <v>0</v>
      </c>
      <c r="AG25" s="409"/>
      <c r="AH25" s="445">
        <v>33</v>
      </c>
      <c r="AI25" s="405">
        <f>IF(N($AH25)&gt;0,VLOOKUP($AH25,Body!$A$4:$F$259,5,0),"")</f>
        <v>35.575224609374999</v>
      </c>
      <c r="AJ25" s="406">
        <f>IF(N($AH25)&gt;0,VLOOKUP($AH25,Body!$A$4:$F$259,6,0),"")</f>
        <v>0</v>
      </c>
      <c r="AK25" s="405">
        <f>IF(N($AH25)&gt;0,VLOOKUP($AH25,Body!$A$4:$F$259,2,0),"")</f>
        <v>0.96875</v>
      </c>
      <c r="AL25" s="407" t="str">
        <f t="shared" si="10"/>
        <v>15 SKP Kulová osma - Zátka Miloslav</v>
      </c>
      <c r="AM25" s="408">
        <f t="shared" si="11"/>
        <v>41.754000000000005</v>
      </c>
      <c r="AN25" s="334">
        <f>IF(OR(TYPE(I25)&gt;1,TYPE(MATCH(I25,I26:I$139,0))&gt;1),0,MATCH(I25,I26:I$139,0))+IF(OR(TYPE(I25)&gt;1,TYPE(MATCH(I25,O$11:O$139,0))&gt;1),0,MATCH(I25,O$11:O$139,0))+IF(OR(TYPE(I25)&gt;1,TYPE(MATCH(I25,U$11:U$139,0))&gt;1),0,MATCH(I25,U$11:U$139,0))+IF(OR(TYPE(I25)&gt;1,TYPE(MATCH(I25,AA$11:AA$139,0))&gt;1),0,MATCH(I25,AA$11:AA$139,0))</f>
        <v>0</v>
      </c>
      <c r="AO25" s="334">
        <f>IF(OR(TYPE(O25)&gt;1,TYPE(MATCH(O25,I$11:I$139,0))&gt;1),0,MATCH(O25,I$11:I$139,0))+IF(OR(TYPE(O25)&gt;1,TYPE(MATCH(O25,O26:O$139,0))&gt;1),0,MATCH(O25,O26:O$139,0))+IF(OR(TYPE(O25)&gt;1,TYPE(MATCH(O25,U$11:U$139,0))&gt;1),0,MATCH(O25,U$11:U$139,0))+IF(OR(TYPE(O25)&gt;1,TYPE(MATCH(O25,AA$11:AA$139,0))&gt;1),0,MATCH(O25,AA$11:AA$139,0))</f>
        <v>0</v>
      </c>
      <c r="AP25" s="334">
        <f>IF(OR(TYPE(U25)&gt;1,TYPE(MATCH(U25,I$11:I$139,0))&gt;1),0,MATCH(U25,I$11:I$139,0))+IF(OR(TYPE(U25)&gt;1,TYPE(MATCH(U25,O$11:O$139,0))&gt;1),0,MATCH(U25,O$11:O$139,0))+IF(OR(TYPE(U25)&gt;1,TYPE(MATCH(U25,U26:U$139,0))&gt;1),0,MATCH(U25,U26:U$139,0))+IF(OR(TYPE(U25)&gt;1,TYPE(MATCH(U25,AA$11:AA$139,0))&gt;1),0,MATCH(U25,AA$11:AA$139,0))</f>
        <v>0</v>
      </c>
      <c r="AQ25" s="334">
        <f>IF(OR(TYPE(AA25)&gt;1,TYPE(MATCH(AA25,I$11:I$139,0))&gt;1),0,MATCH(AA25,I$11:I$139,0))+IF(OR(TYPE(AA25)&gt;1,TYPE(MATCH(AA25,O$11:O$139,0))&gt;1),0,MATCH(AA25,O$11:O$139,0))+IF(OR(TYPE(AA25)&gt;1,TYPE(MATCH(AA25,U$11:U$139,0))&gt;1),0,MATCH(U25,U$11:U$139,0))+IF(OR(TYPE(AA25)&gt;1,TYPE(MATCH(AA25,AA26:AA$139,0))&gt;1),0,MATCH(AA25,AA26:AA$139,0))</f>
        <v>0</v>
      </c>
      <c r="AR25" s="334">
        <f t="shared" si="12"/>
        <v>0</v>
      </c>
      <c r="AT25" s="333">
        <f t="shared" si="13"/>
        <v>0</v>
      </c>
      <c r="AU25" s="333">
        <f>IF(AND(N(I25)&gt;0,TYPE(VLOOKUP(I25,Hraci!$A$5:$A$800,1,0))&gt;3),1,0) + IF(AND(N(O25)&gt;0,TYPE(VLOOKUP(O25,Hraci!$A$5:$A$800,1,0))&gt;3),1,0) + IF(AND(N(U25)&gt;0,TYPE(VLOOKUP(U25,Hraci!$A$5:$A$800,1,0))&gt;3),1,0)</f>
        <v>1</v>
      </c>
      <c r="BF25" s="334">
        <f t="shared" si="14"/>
        <v>15</v>
      </c>
    </row>
    <row r="26" spans="1:58" ht="14.25" x14ac:dyDescent="0.3">
      <c r="A26" s="358">
        <f t="shared" si="2"/>
        <v>2</v>
      </c>
      <c r="B26" s="358">
        <f t="shared" si="3"/>
        <v>1</v>
      </c>
      <c r="C26" s="358">
        <f t="shared" si="4"/>
        <v>41.030999999999999</v>
      </c>
      <c r="D26" s="358">
        <f t="shared" si="5"/>
        <v>10219</v>
      </c>
      <c r="E26" s="358">
        <f t="shared" si="6"/>
        <v>55</v>
      </c>
      <c r="F26" s="359" t="str">
        <f t="shared" ca="1" si="7"/>
        <v>91041031989780999944450187</v>
      </c>
      <c r="G26" s="398" t="b">
        <f t="shared" si="8"/>
        <v>0</v>
      </c>
      <c r="H26" s="399">
        <f t="shared" si="9"/>
        <v>16</v>
      </c>
      <c r="I26" s="400">
        <v>23131</v>
      </c>
      <c r="J26" s="401" t="s">
        <v>161</v>
      </c>
      <c r="K26" s="402" t="s">
        <v>67</v>
      </c>
      <c r="L26" s="402" t="s">
        <v>1094</v>
      </c>
      <c r="M26" s="403">
        <v>55</v>
      </c>
      <c r="N26" s="404">
        <v>27.25</v>
      </c>
      <c r="O26" s="400">
        <v>23056</v>
      </c>
      <c r="P26" s="401" t="s">
        <v>392</v>
      </c>
      <c r="Q26" s="402" t="s">
        <v>393</v>
      </c>
      <c r="R26" s="402" t="s">
        <v>1094</v>
      </c>
      <c r="S26" s="403">
        <v>165</v>
      </c>
      <c r="T26" s="404">
        <v>13.781000000000001</v>
      </c>
      <c r="U26" s="400" t="s">
        <v>2005</v>
      </c>
      <c r="V26" s="401" t="s">
        <v>1054</v>
      </c>
      <c r="W26" s="402" t="s">
        <v>1054</v>
      </c>
      <c r="X26" s="402" t="s">
        <v>1054</v>
      </c>
      <c r="Y26" s="403">
        <v>9999</v>
      </c>
      <c r="Z26" s="404">
        <v>0</v>
      </c>
      <c r="AA26" s="400" t="s">
        <v>2005</v>
      </c>
      <c r="AB26" s="401" t="s">
        <v>1054</v>
      </c>
      <c r="AC26" s="402" t="s">
        <v>1054</v>
      </c>
      <c r="AD26" s="402" t="s">
        <v>1054</v>
      </c>
      <c r="AE26" s="403">
        <v>9999</v>
      </c>
      <c r="AF26" s="404">
        <v>0</v>
      </c>
      <c r="AG26" s="409"/>
      <c r="AH26" s="445">
        <f ca="1">IF(TYPE(VLOOKUP(H26,Centrum!$A$3:$E$130,5,0))&lt;4,VLOOKUP(H26,Centrum!$A$3:$E$130,5,0),0)</f>
        <v>8</v>
      </c>
      <c r="AI26" s="405">
        <f ca="1">IF(N($AH26)&gt;0,VLOOKUP($AH26,Body!$A$4:$F$259,5,0),"")</f>
        <v>110.16843749999998</v>
      </c>
      <c r="AJ26" s="406">
        <f ca="1">IF(N($AH26)&gt;0,VLOOKUP($AH26,Body!$A$4:$F$259,6,0),"")</f>
        <v>0</v>
      </c>
      <c r="AK26" s="405">
        <f ca="1">IF(N($AH26)&gt;0,VLOOKUP($AH26,Body!$A$4:$F$259,2,0),"")</f>
        <v>3</v>
      </c>
      <c r="AL26" s="407" t="str">
        <f t="shared" si="10"/>
        <v>16 FRAPECO - Felčárek Jaroslav</v>
      </c>
      <c r="AM26" s="408">
        <f t="shared" si="11"/>
        <v>41.030999999999999</v>
      </c>
      <c r="AN26" s="334">
        <f>IF(OR(TYPE(I26)&gt;1,TYPE(MATCH(I26,I27:I$139,0))&gt;1),0,MATCH(I26,I27:I$139,0))+IF(OR(TYPE(I26)&gt;1,TYPE(MATCH(I26,O$11:O$139,0))&gt;1),0,MATCH(I26,O$11:O$139,0))+IF(OR(TYPE(I26)&gt;1,TYPE(MATCH(I26,U$11:U$139,0))&gt;1),0,MATCH(I26,U$11:U$139,0))+IF(OR(TYPE(I26)&gt;1,TYPE(MATCH(I26,AA$11:AA$139,0))&gt;1),0,MATCH(I26,AA$11:AA$139,0))</f>
        <v>0</v>
      </c>
      <c r="AO26" s="334">
        <f>IF(OR(TYPE(O26)&gt;1,TYPE(MATCH(O26,I$11:I$139,0))&gt;1),0,MATCH(O26,I$11:I$139,0))+IF(OR(TYPE(O26)&gt;1,TYPE(MATCH(O26,O27:O$139,0))&gt;1),0,MATCH(O26,O27:O$139,0))+IF(OR(TYPE(O26)&gt;1,TYPE(MATCH(O26,U$11:U$139,0))&gt;1),0,MATCH(O26,U$11:U$139,0))+IF(OR(TYPE(O26)&gt;1,TYPE(MATCH(O26,AA$11:AA$139,0))&gt;1),0,MATCH(O26,AA$11:AA$139,0))</f>
        <v>0</v>
      </c>
      <c r="AP26" s="334">
        <f>IF(OR(TYPE(U26)&gt;1,TYPE(MATCH(U26,I$11:I$139,0))&gt;1),0,MATCH(U26,I$11:I$139,0))+IF(OR(TYPE(U26)&gt;1,TYPE(MATCH(U26,O$11:O$139,0))&gt;1),0,MATCH(U26,O$11:O$139,0))+IF(OR(TYPE(U26)&gt;1,TYPE(MATCH(U26,U27:U$139,0))&gt;1),0,MATCH(U26,U27:U$139,0))+IF(OR(TYPE(U26)&gt;1,TYPE(MATCH(U26,AA$11:AA$139,0))&gt;1),0,MATCH(U26,AA$11:AA$139,0))</f>
        <v>0</v>
      </c>
      <c r="AQ26" s="334">
        <f>IF(OR(TYPE(AA26)&gt;1,TYPE(MATCH(AA26,I$11:I$139,0))&gt;1),0,MATCH(AA26,I$11:I$139,0))+IF(OR(TYPE(AA26)&gt;1,TYPE(MATCH(AA26,O$11:O$139,0))&gt;1),0,MATCH(AA26,O$11:O$139,0))+IF(OR(TYPE(AA26)&gt;1,TYPE(MATCH(AA26,U$11:U$139,0))&gt;1),0,MATCH(U26,U$11:U$139,0))+IF(OR(TYPE(AA26)&gt;1,TYPE(MATCH(AA26,AA27:AA$139,0))&gt;1),0,MATCH(AA26,AA27:AA$139,0))</f>
        <v>0</v>
      </c>
      <c r="AR26" s="334">
        <f t="shared" si="12"/>
        <v>0</v>
      </c>
      <c r="AT26" s="333">
        <f t="shared" si="13"/>
        <v>0</v>
      </c>
      <c r="AU26" s="333">
        <f>IF(AND(N(I26)&gt;0,TYPE(VLOOKUP(I26,Hraci!$A$5:$A$800,1,0))&gt;3),1,0) + IF(AND(N(O26)&gt;0,TYPE(VLOOKUP(O26,Hraci!$A$5:$A$800,1,0))&gt;3),1,0) + IF(AND(N(U26)&gt;0,TYPE(VLOOKUP(U26,Hraci!$A$5:$A$800,1,0))&gt;3),1,0)</f>
        <v>0</v>
      </c>
      <c r="BF26" s="334">
        <f t="shared" si="14"/>
        <v>16</v>
      </c>
    </row>
    <row r="27" spans="1:58" ht="14.25" x14ac:dyDescent="0.3">
      <c r="A27" s="358">
        <f t="shared" si="2"/>
        <v>2</v>
      </c>
      <c r="B27" s="358">
        <f t="shared" si="3"/>
        <v>1</v>
      </c>
      <c r="C27" s="358">
        <f t="shared" si="4"/>
        <v>40.932000000000002</v>
      </c>
      <c r="D27" s="358">
        <f t="shared" si="5"/>
        <v>10332</v>
      </c>
      <c r="E27" s="358">
        <f t="shared" si="6"/>
        <v>124</v>
      </c>
      <c r="F27" s="359" t="str">
        <f t="shared" ca="1" si="7"/>
        <v>91040932989667999875032007</v>
      </c>
      <c r="G27" s="398" t="b">
        <f t="shared" si="8"/>
        <v>0</v>
      </c>
      <c r="H27" s="399">
        <f t="shared" si="9"/>
        <v>17</v>
      </c>
      <c r="I27" s="400">
        <v>15067</v>
      </c>
      <c r="J27" s="401" t="s">
        <v>1671</v>
      </c>
      <c r="K27" s="402" t="s">
        <v>1672</v>
      </c>
      <c r="L27" s="402" t="s">
        <v>1506</v>
      </c>
      <c r="M27" s="403">
        <v>124</v>
      </c>
      <c r="N27" s="404">
        <v>26.251000000000001</v>
      </c>
      <c r="O27" s="400">
        <v>16010</v>
      </c>
      <c r="P27" s="401" t="s">
        <v>1697</v>
      </c>
      <c r="Q27" s="402" t="s">
        <v>182</v>
      </c>
      <c r="R27" s="402" t="s">
        <v>1506</v>
      </c>
      <c r="S27" s="403">
        <v>209</v>
      </c>
      <c r="T27" s="404">
        <v>14.680999999999999</v>
      </c>
      <c r="U27" s="400" t="s">
        <v>2005</v>
      </c>
      <c r="V27" s="401" t="s">
        <v>1054</v>
      </c>
      <c r="W27" s="402" t="s">
        <v>1054</v>
      </c>
      <c r="X27" s="402" t="s">
        <v>1054</v>
      </c>
      <c r="Y27" s="403">
        <v>9999</v>
      </c>
      <c r="Z27" s="404">
        <v>0</v>
      </c>
      <c r="AA27" s="400" t="s">
        <v>2005</v>
      </c>
      <c r="AB27" s="401" t="s">
        <v>1054</v>
      </c>
      <c r="AC27" s="402" t="s">
        <v>1054</v>
      </c>
      <c r="AD27" s="402" t="s">
        <v>1054</v>
      </c>
      <c r="AE27" s="403">
        <v>9999</v>
      </c>
      <c r="AF27" s="404">
        <v>0</v>
      </c>
      <c r="AG27" s="409"/>
      <c r="AH27" s="445">
        <v>35</v>
      </c>
      <c r="AI27" s="405">
        <f>IF(N($AH27)&gt;0,VLOOKUP($AH27,Body!$A$4:$F$259,5,0),"")</f>
        <v>33.280048828124997</v>
      </c>
      <c r="AJ27" s="406">
        <f>IF(N($AH27)&gt;0,VLOOKUP($AH27,Body!$A$4:$F$259,6,0),"")</f>
        <v>0</v>
      </c>
      <c r="AK27" s="405">
        <f>IF(N($AH27)&gt;0,VLOOKUP($AH27,Body!$A$4:$F$259,2,0),"")</f>
        <v>0.90625</v>
      </c>
      <c r="AL27" s="407" t="str">
        <f t="shared" si="10"/>
        <v>17 Sokol Kostomlaty - Vyoral Hynek</v>
      </c>
      <c r="AM27" s="408">
        <f t="shared" si="11"/>
        <v>40.932000000000002</v>
      </c>
      <c r="AN27" s="334">
        <f>IF(OR(TYPE(I27)&gt;1,TYPE(MATCH(I27,I28:I$139,0))&gt;1),0,MATCH(I27,I28:I$139,0))+IF(OR(TYPE(I27)&gt;1,TYPE(MATCH(I27,O$11:O$139,0))&gt;1),0,MATCH(I27,O$11:O$139,0))+IF(OR(TYPE(I27)&gt;1,TYPE(MATCH(I27,U$11:U$139,0))&gt;1),0,MATCH(I27,U$11:U$139,0))+IF(OR(TYPE(I27)&gt;1,TYPE(MATCH(I27,AA$11:AA$139,0))&gt;1),0,MATCH(I27,AA$11:AA$139,0))</f>
        <v>0</v>
      </c>
      <c r="AO27" s="334">
        <f>IF(OR(TYPE(O27)&gt;1,TYPE(MATCH(O27,I$11:I$139,0))&gt;1),0,MATCH(O27,I$11:I$139,0))+IF(OR(TYPE(O27)&gt;1,TYPE(MATCH(O27,O28:O$139,0))&gt;1),0,MATCH(O27,O28:O$139,0))+IF(OR(TYPE(O27)&gt;1,TYPE(MATCH(O27,U$11:U$139,0))&gt;1),0,MATCH(O27,U$11:U$139,0))+IF(OR(TYPE(O27)&gt;1,TYPE(MATCH(O27,AA$11:AA$139,0))&gt;1),0,MATCH(O27,AA$11:AA$139,0))</f>
        <v>0</v>
      </c>
      <c r="AP27" s="334">
        <f>IF(OR(TYPE(U27)&gt;1,TYPE(MATCH(U27,I$11:I$139,0))&gt;1),0,MATCH(U27,I$11:I$139,0))+IF(OR(TYPE(U27)&gt;1,TYPE(MATCH(U27,O$11:O$139,0))&gt;1),0,MATCH(U27,O$11:O$139,0))+IF(OR(TYPE(U27)&gt;1,TYPE(MATCH(U27,U28:U$139,0))&gt;1),0,MATCH(U27,U28:U$139,0))+IF(OR(TYPE(U27)&gt;1,TYPE(MATCH(U27,AA$11:AA$139,0))&gt;1),0,MATCH(U27,AA$11:AA$139,0))</f>
        <v>0</v>
      </c>
      <c r="AQ27" s="334">
        <f>IF(OR(TYPE(AA27)&gt;1,TYPE(MATCH(AA27,I$11:I$139,0))&gt;1),0,MATCH(AA27,I$11:I$139,0))+IF(OR(TYPE(AA27)&gt;1,TYPE(MATCH(AA27,O$11:O$139,0))&gt;1),0,MATCH(AA27,O$11:O$139,0))+IF(OR(TYPE(AA27)&gt;1,TYPE(MATCH(AA27,U$11:U$139,0))&gt;1),0,MATCH(U27,U$11:U$139,0))+IF(OR(TYPE(AA27)&gt;1,TYPE(MATCH(AA27,AA28:AA$139,0))&gt;1),0,MATCH(AA27,AA28:AA$139,0))</f>
        <v>0</v>
      </c>
      <c r="AR27" s="334">
        <f t="shared" si="12"/>
        <v>0</v>
      </c>
      <c r="AT27" s="333">
        <f t="shared" si="13"/>
        <v>1</v>
      </c>
      <c r="AU27" s="333">
        <f>IF(AND(N(I27)&gt;0,TYPE(VLOOKUP(I27,Hraci!$A$5:$A$800,1,0))&gt;3),1,0) + IF(AND(N(O27)&gt;0,TYPE(VLOOKUP(O27,Hraci!$A$5:$A$800,1,0))&gt;3),1,0) + IF(AND(N(U27)&gt;0,TYPE(VLOOKUP(U27,Hraci!$A$5:$A$800,1,0))&gt;3),1,0)</f>
        <v>2</v>
      </c>
      <c r="BF27" s="334">
        <f t="shared" si="14"/>
        <v>17</v>
      </c>
    </row>
    <row r="28" spans="1:58" ht="14.25" x14ac:dyDescent="0.3">
      <c r="A28" s="358">
        <f t="shared" si="2"/>
        <v>2</v>
      </c>
      <c r="B28" s="358">
        <f t="shared" si="3"/>
        <v>1</v>
      </c>
      <c r="C28" s="358">
        <f t="shared" si="4"/>
        <v>40.316000000000003</v>
      </c>
      <c r="D28" s="358">
        <f t="shared" si="5"/>
        <v>10316</v>
      </c>
      <c r="E28" s="358">
        <f t="shared" si="6"/>
        <v>141</v>
      </c>
      <c r="F28" s="359" t="str">
        <f t="shared" ca="1" si="7"/>
        <v>91040316989683999858060084</v>
      </c>
      <c r="G28" s="398" t="b">
        <f t="shared" si="8"/>
        <v>0</v>
      </c>
      <c r="H28" s="399">
        <f t="shared" si="9"/>
        <v>18</v>
      </c>
      <c r="I28" s="400">
        <v>15011</v>
      </c>
      <c r="J28" s="401" t="s">
        <v>110</v>
      </c>
      <c r="K28" s="402" t="s">
        <v>177</v>
      </c>
      <c r="L28" s="402" t="s">
        <v>1169</v>
      </c>
      <c r="M28" s="403">
        <v>141</v>
      </c>
      <c r="N28" s="404">
        <v>21.126999999999999</v>
      </c>
      <c r="O28" s="400">
        <v>15010</v>
      </c>
      <c r="P28" s="401" t="s">
        <v>1719</v>
      </c>
      <c r="Q28" s="402" t="s">
        <v>1517</v>
      </c>
      <c r="R28" s="402" t="s">
        <v>1169</v>
      </c>
      <c r="S28" s="403">
        <v>176</v>
      </c>
      <c r="T28" s="404">
        <v>19.189</v>
      </c>
      <c r="U28" s="400" t="s">
        <v>2005</v>
      </c>
      <c r="V28" s="401" t="s">
        <v>1054</v>
      </c>
      <c r="W28" s="402" t="s">
        <v>1054</v>
      </c>
      <c r="X28" s="402" t="s">
        <v>1054</v>
      </c>
      <c r="Y28" s="403">
        <v>9999</v>
      </c>
      <c r="Z28" s="404">
        <v>0</v>
      </c>
      <c r="AA28" s="400" t="s">
        <v>2005</v>
      </c>
      <c r="AB28" s="401" t="s">
        <v>1054</v>
      </c>
      <c r="AC28" s="402" t="s">
        <v>1054</v>
      </c>
      <c r="AD28" s="402" t="s">
        <v>1054</v>
      </c>
      <c r="AE28" s="403">
        <v>9999</v>
      </c>
      <c r="AF28" s="404">
        <v>0</v>
      </c>
      <c r="AG28" s="409"/>
      <c r="AH28" s="445">
        <v>31</v>
      </c>
      <c r="AI28" s="405">
        <f>IF(N($AH28)&gt;0,VLOOKUP($AH28,Body!$A$4:$F$259,5,0),"")</f>
        <v>39.017988281249998</v>
      </c>
      <c r="AJ28" s="406">
        <f>IF(N($AH28)&gt;0,VLOOKUP($AH28,Body!$A$4:$F$259,6,0),"")</f>
        <v>0</v>
      </c>
      <c r="AK28" s="405">
        <f>IF(N($AH28)&gt;0,VLOOKUP($AH28,Body!$A$4:$F$259,2,0),"")</f>
        <v>1.0625</v>
      </c>
      <c r="AL28" s="407" t="str">
        <f t="shared" si="10"/>
        <v>18 Club Rodamiento - Chmelař Ivo</v>
      </c>
      <c r="AM28" s="408">
        <f t="shared" si="11"/>
        <v>40.316000000000003</v>
      </c>
      <c r="AN28" s="334">
        <f>IF(OR(TYPE(I28)&gt;1,TYPE(MATCH(I28,I29:I$139,0))&gt;1),0,MATCH(I28,I29:I$139,0))+IF(OR(TYPE(I28)&gt;1,TYPE(MATCH(I28,O$11:O$139,0))&gt;1),0,MATCH(I28,O$11:O$139,0))+IF(OR(TYPE(I28)&gt;1,TYPE(MATCH(I28,U$11:U$139,0))&gt;1),0,MATCH(I28,U$11:U$139,0))+IF(OR(TYPE(I28)&gt;1,TYPE(MATCH(I28,AA$11:AA$139,0))&gt;1),0,MATCH(I28,AA$11:AA$139,0))</f>
        <v>0</v>
      </c>
      <c r="AO28" s="334">
        <f>IF(OR(TYPE(O28)&gt;1,TYPE(MATCH(O28,I$11:I$139,0))&gt;1),0,MATCH(O28,I$11:I$139,0))+IF(OR(TYPE(O28)&gt;1,TYPE(MATCH(O28,O29:O$139,0))&gt;1),0,MATCH(O28,O29:O$139,0))+IF(OR(TYPE(O28)&gt;1,TYPE(MATCH(O28,U$11:U$139,0))&gt;1),0,MATCH(O28,U$11:U$139,0))+IF(OR(TYPE(O28)&gt;1,TYPE(MATCH(O28,AA$11:AA$139,0))&gt;1),0,MATCH(O28,AA$11:AA$139,0))</f>
        <v>0</v>
      </c>
      <c r="AP28" s="334">
        <f>IF(OR(TYPE(U28)&gt;1,TYPE(MATCH(U28,I$11:I$139,0))&gt;1),0,MATCH(U28,I$11:I$139,0))+IF(OR(TYPE(U28)&gt;1,TYPE(MATCH(U28,O$11:O$139,0))&gt;1),0,MATCH(U28,O$11:O$139,0))+IF(OR(TYPE(U28)&gt;1,TYPE(MATCH(U28,U29:U$139,0))&gt;1),0,MATCH(U28,U29:U$139,0))+IF(OR(TYPE(U28)&gt;1,TYPE(MATCH(U28,AA$11:AA$139,0))&gt;1),0,MATCH(U28,AA$11:AA$139,0))</f>
        <v>0</v>
      </c>
      <c r="AQ28" s="334">
        <f>IF(OR(TYPE(AA28)&gt;1,TYPE(MATCH(AA28,I$11:I$139,0))&gt;1),0,MATCH(AA28,I$11:I$139,0))+IF(OR(TYPE(AA28)&gt;1,TYPE(MATCH(AA28,O$11:O$139,0))&gt;1),0,MATCH(AA28,O$11:O$139,0))+IF(OR(TYPE(AA28)&gt;1,TYPE(MATCH(AA28,U$11:U$139,0))&gt;1),0,MATCH(U28,U$11:U$139,0))+IF(OR(TYPE(AA28)&gt;1,TYPE(MATCH(AA28,AA29:AA$139,0))&gt;1),0,MATCH(AA28,AA29:AA$139,0))</f>
        <v>0</v>
      </c>
      <c r="AR28" s="334">
        <f t="shared" si="12"/>
        <v>0</v>
      </c>
      <c r="AT28" s="333">
        <f t="shared" si="13"/>
        <v>0</v>
      </c>
      <c r="AU28" s="333">
        <f>IF(AND(N(I28)&gt;0,TYPE(VLOOKUP(I28,Hraci!$A$5:$A$800,1,0))&gt;3),1,0) + IF(AND(N(O28)&gt;0,TYPE(VLOOKUP(O28,Hraci!$A$5:$A$800,1,0))&gt;3),1,0) + IF(AND(N(U28)&gt;0,TYPE(VLOOKUP(U28,Hraci!$A$5:$A$800,1,0))&gt;3),1,0)</f>
        <v>0</v>
      </c>
      <c r="BF28" s="334">
        <f t="shared" si="14"/>
        <v>18</v>
      </c>
    </row>
    <row r="29" spans="1:58" ht="14.25" x14ac:dyDescent="0.3">
      <c r="A29" s="358">
        <f t="shared" si="2"/>
        <v>2</v>
      </c>
      <c r="B29" s="358">
        <f t="shared" si="3"/>
        <v>1</v>
      </c>
      <c r="C29" s="358">
        <f t="shared" si="4"/>
        <v>39.884999999999998</v>
      </c>
      <c r="D29" s="358">
        <f t="shared" si="5"/>
        <v>10293</v>
      </c>
      <c r="E29" s="358">
        <f t="shared" si="6"/>
        <v>107</v>
      </c>
      <c r="F29" s="359" t="str">
        <f t="shared" ca="1" si="7"/>
        <v>91039885989706999892594512</v>
      </c>
      <c r="G29" s="398" t="b">
        <f t="shared" si="8"/>
        <v>0</v>
      </c>
      <c r="H29" s="399">
        <f t="shared" si="9"/>
        <v>19</v>
      </c>
      <c r="I29" s="400">
        <v>14079</v>
      </c>
      <c r="J29" s="401" t="s">
        <v>1668</v>
      </c>
      <c r="K29" s="402" t="s">
        <v>72</v>
      </c>
      <c r="L29" s="402" t="s">
        <v>1437</v>
      </c>
      <c r="M29" s="403">
        <v>107</v>
      </c>
      <c r="N29" s="404">
        <v>26.780999999999999</v>
      </c>
      <c r="O29" s="400">
        <v>15028</v>
      </c>
      <c r="P29" s="401" t="s">
        <v>1709</v>
      </c>
      <c r="Q29" s="402" t="s">
        <v>39</v>
      </c>
      <c r="R29" s="402" t="s">
        <v>1437</v>
      </c>
      <c r="S29" s="403">
        <v>187</v>
      </c>
      <c r="T29" s="404">
        <v>13.103999999999999</v>
      </c>
      <c r="U29" s="400" t="s">
        <v>2005</v>
      </c>
      <c r="V29" s="401" t="s">
        <v>1054</v>
      </c>
      <c r="W29" s="402" t="s">
        <v>1054</v>
      </c>
      <c r="X29" s="402" t="s">
        <v>1054</v>
      </c>
      <c r="Y29" s="403">
        <v>9999</v>
      </c>
      <c r="Z29" s="404">
        <v>0</v>
      </c>
      <c r="AA29" s="400" t="s">
        <v>2005</v>
      </c>
      <c r="AB29" s="401" t="s">
        <v>1054</v>
      </c>
      <c r="AC29" s="402" t="s">
        <v>1054</v>
      </c>
      <c r="AD29" s="402" t="s">
        <v>1054</v>
      </c>
      <c r="AE29" s="403">
        <v>9999</v>
      </c>
      <c r="AF29" s="404">
        <v>0</v>
      </c>
      <c r="AG29" s="409"/>
      <c r="AH29" s="445">
        <f ca="1">IF(TYPE(VLOOKUP(H29,Centrum!$A$3:$E$130,5,0))&lt;4,VLOOKUP(H29,Centrum!$A$3:$E$130,5,0),0)</f>
        <v>10</v>
      </c>
      <c r="AI29" s="405">
        <f ca="1">IF(N($AH29)&gt;0,VLOOKUP($AH29,Body!$A$4:$F$259,5,0),"")</f>
        <v>100.98773437499999</v>
      </c>
      <c r="AJ29" s="406">
        <f ca="1">IF(N($AH29)&gt;0,VLOOKUP($AH29,Body!$A$4:$F$259,6,0),"")</f>
        <v>0</v>
      </c>
      <c r="AK29" s="405">
        <f ca="1">IF(N($AH29)&gt;0,VLOOKUP($AH29,Body!$A$4:$F$259,2,0),"")</f>
        <v>2.75</v>
      </c>
      <c r="AL29" s="407" t="str">
        <f t="shared" si="10"/>
        <v>19 Petank Club Praha - Vorel Jan</v>
      </c>
      <c r="AM29" s="408">
        <f t="shared" si="11"/>
        <v>39.884999999999998</v>
      </c>
      <c r="AN29" s="334">
        <f>IF(OR(TYPE(I29)&gt;1,TYPE(MATCH(I29,I30:I$139,0))&gt;1),0,MATCH(I29,I30:I$139,0))+IF(OR(TYPE(I29)&gt;1,TYPE(MATCH(I29,O$11:O$139,0))&gt;1),0,MATCH(I29,O$11:O$139,0))+IF(OR(TYPE(I29)&gt;1,TYPE(MATCH(I29,U$11:U$139,0))&gt;1),0,MATCH(I29,U$11:U$139,0))+IF(OR(TYPE(I29)&gt;1,TYPE(MATCH(I29,AA$11:AA$139,0))&gt;1),0,MATCH(I29,AA$11:AA$139,0))</f>
        <v>0</v>
      </c>
      <c r="AO29" s="334">
        <f>IF(OR(TYPE(O29)&gt;1,TYPE(MATCH(O29,I$11:I$139,0))&gt;1),0,MATCH(O29,I$11:I$139,0))+IF(OR(TYPE(O29)&gt;1,TYPE(MATCH(O29,O30:O$139,0))&gt;1),0,MATCH(O29,O30:O$139,0))+IF(OR(TYPE(O29)&gt;1,TYPE(MATCH(O29,U$11:U$139,0))&gt;1),0,MATCH(O29,U$11:U$139,0))+IF(OR(TYPE(O29)&gt;1,TYPE(MATCH(O29,AA$11:AA$139,0))&gt;1),0,MATCH(O29,AA$11:AA$139,0))</f>
        <v>0</v>
      </c>
      <c r="AP29" s="334">
        <f>IF(OR(TYPE(U29)&gt;1,TYPE(MATCH(U29,I$11:I$139,0))&gt;1),0,MATCH(U29,I$11:I$139,0))+IF(OR(TYPE(U29)&gt;1,TYPE(MATCH(U29,O$11:O$139,0))&gt;1),0,MATCH(U29,O$11:O$139,0))+IF(OR(TYPE(U29)&gt;1,TYPE(MATCH(U29,U30:U$139,0))&gt;1),0,MATCH(U29,U30:U$139,0))+IF(OR(TYPE(U29)&gt;1,TYPE(MATCH(U29,AA$11:AA$139,0))&gt;1),0,MATCH(U29,AA$11:AA$139,0))</f>
        <v>0</v>
      </c>
      <c r="AQ29" s="334">
        <f>IF(OR(TYPE(AA29)&gt;1,TYPE(MATCH(AA29,I$11:I$139,0))&gt;1),0,MATCH(AA29,I$11:I$139,0))+IF(OR(TYPE(AA29)&gt;1,TYPE(MATCH(AA29,O$11:O$139,0))&gt;1),0,MATCH(AA29,O$11:O$139,0))+IF(OR(TYPE(AA29)&gt;1,TYPE(MATCH(AA29,U$11:U$139,0))&gt;1),0,MATCH(U29,U$11:U$139,0))+IF(OR(TYPE(AA29)&gt;1,TYPE(MATCH(AA29,AA30:AA$139,0))&gt;1),0,MATCH(AA29,AA30:AA$139,0))</f>
        <v>0</v>
      </c>
      <c r="AR29" s="334">
        <f t="shared" si="12"/>
        <v>0</v>
      </c>
      <c r="AT29" s="333">
        <f t="shared" si="13"/>
        <v>1</v>
      </c>
      <c r="AU29" s="333">
        <f>IF(AND(N(I29)&gt;0,TYPE(VLOOKUP(I29,Hraci!$A$5:$A$800,1,0))&gt;3),1,0) + IF(AND(N(O29)&gt;0,TYPE(VLOOKUP(O29,Hraci!$A$5:$A$800,1,0))&gt;3),1,0) + IF(AND(N(U29)&gt;0,TYPE(VLOOKUP(U29,Hraci!$A$5:$A$800,1,0))&gt;3),1,0)</f>
        <v>2</v>
      </c>
      <c r="BF29" s="334">
        <f t="shared" si="14"/>
        <v>19</v>
      </c>
    </row>
    <row r="30" spans="1:58" ht="14.25" x14ac:dyDescent="0.3">
      <c r="A30" s="358">
        <f t="shared" si="2"/>
        <v>2</v>
      </c>
      <c r="B30" s="358">
        <f t="shared" si="3"/>
        <v>1</v>
      </c>
      <c r="C30" s="358">
        <f t="shared" si="4"/>
        <v>38.409000000000006</v>
      </c>
      <c r="D30" s="358">
        <f t="shared" si="5"/>
        <v>10266</v>
      </c>
      <c r="E30" s="358">
        <f t="shared" si="6"/>
        <v>128</v>
      </c>
      <c r="F30" s="359" t="str">
        <f t="shared" ca="1" si="7"/>
        <v>91038409989733999871917756</v>
      </c>
      <c r="G30" s="398" t="b">
        <f t="shared" si="8"/>
        <v>0</v>
      </c>
      <c r="H30" s="399">
        <f t="shared" si="9"/>
        <v>20</v>
      </c>
      <c r="I30" s="400">
        <v>13027</v>
      </c>
      <c r="J30" s="401" t="s">
        <v>1177</v>
      </c>
      <c r="K30" s="402" t="s">
        <v>101</v>
      </c>
      <c r="L30" s="402" t="s">
        <v>1169</v>
      </c>
      <c r="M30" s="403">
        <v>128</v>
      </c>
      <c r="N30" s="404">
        <v>19.533000000000001</v>
      </c>
      <c r="O30" s="400">
        <v>13029</v>
      </c>
      <c r="P30" s="401" t="s">
        <v>1185</v>
      </c>
      <c r="Q30" s="402" t="s">
        <v>15</v>
      </c>
      <c r="R30" s="402" t="s">
        <v>1169</v>
      </c>
      <c r="S30" s="403">
        <v>139</v>
      </c>
      <c r="T30" s="404">
        <v>18.876000000000001</v>
      </c>
      <c r="U30" s="400" t="s">
        <v>2005</v>
      </c>
      <c r="V30" s="401" t="s">
        <v>1054</v>
      </c>
      <c r="W30" s="402" t="s">
        <v>1054</v>
      </c>
      <c r="X30" s="402" t="s">
        <v>1054</v>
      </c>
      <c r="Y30" s="403">
        <v>9999</v>
      </c>
      <c r="Z30" s="404">
        <v>0</v>
      </c>
      <c r="AA30" s="400" t="s">
        <v>2005</v>
      </c>
      <c r="AB30" s="401" t="s">
        <v>1054</v>
      </c>
      <c r="AC30" s="402" t="s">
        <v>1054</v>
      </c>
      <c r="AD30" s="402" t="s">
        <v>1054</v>
      </c>
      <c r="AE30" s="403">
        <v>9999</v>
      </c>
      <c r="AF30" s="404">
        <v>0</v>
      </c>
      <c r="AG30" s="409"/>
      <c r="AH30" s="445">
        <f ca="1">IF(TYPE(VLOOKUP(H30,Centrum!$A$3:$E$130,5,0))&lt;4,VLOOKUP(H30,Centrum!$A$3:$E$130,5,0),0)</f>
        <v>7</v>
      </c>
      <c r="AI30" s="405">
        <f ca="1">IF(N($AH30)&gt;0,VLOOKUP($AH30,Body!$A$4:$F$259,5,0),"")</f>
        <v>119.34914062499999</v>
      </c>
      <c r="AJ30" s="406">
        <f ca="1">IF(N($AH30)&gt;0,VLOOKUP($AH30,Body!$A$4:$F$259,6,0),"")</f>
        <v>0</v>
      </c>
      <c r="AK30" s="405">
        <f ca="1">IF(N($AH30)&gt;0,VLOOKUP($AH30,Body!$A$4:$F$259,2,0),"")</f>
        <v>3.25</v>
      </c>
      <c r="AL30" s="407" t="str">
        <f t="shared" si="10"/>
        <v>20 Club Rodamiento - Dlouhá Ivana</v>
      </c>
      <c r="AM30" s="408">
        <f t="shared" si="11"/>
        <v>38.409000000000006</v>
      </c>
      <c r="AN30" s="334">
        <f>IF(OR(TYPE(I30)&gt;1,TYPE(MATCH(I30,I31:I$139,0))&gt;1),0,MATCH(I30,I31:I$139,0))+IF(OR(TYPE(I30)&gt;1,TYPE(MATCH(I30,O$11:O$139,0))&gt;1),0,MATCH(I30,O$11:O$139,0))+IF(OR(TYPE(I30)&gt;1,TYPE(MATCH(I30,U$11:U$139,0))&gt;1),0,MATCH(I30,U$11:U$139,0))+IF(OR(TYPE(I30)&gt;1,TYPE(MATCH(I30,AA$11:AA$139,0))&gt;1),0,MATCH(I30,AA$11:AA$139,0))</f>
        <v>0</v>
      </c>
      <c r="AO30" s="334">
        <f>IF(OR(TYPE(O30)&gt;1,TYPE(MATCH(O30,I$11:I$139,0))&gt;1),0,MATCH(O30,I$11:I$139,0))+IF(OR(TYPE(O30)&gt;1,TYPE(MATCH(O30,O31:O$139,0))&gt;1),0,MATCH(O30,O31:O$139,0))+IF(OR(TYPE(O30)&gt;1,TYPE(MATCH(O30,U$11:U$139,0))&gt;1),0,MATCH(O30,U$11:U$139,0))+IF(OR(TYPE(O30)&gt;1,TYPE(MATCH(O30,AA$11:AA$139,0))&gt;1),0,MATCH(O30,AA$11:AA$139,0))</f>
        <v>0</v>
      </c>
      <c r="AP30" s="334">
        <f>IF(OR(TYPE(U30)&gt;1,TYPE(MATCH(U30,I$11:I$139,0))&gt;1),0,MATCH(U30,I$11:I$139,0))+IF(OR(TYPE(U30)&gt;1,TYPE(MATCH(U30,O$11:O$139,0))&gt;1),0,MATCH(U30,O$11:O$139,0))+IF(OR(TYPE(U30)&gt;1,TYPE(MATCH(U30,U31:U$139,0))&gt;1),0,MATCH(U30,U31:U$139,0))+IF(OR(TYPE(U30)&gt;1,TYPE(MATCH(U30,AA$11:AA$139,0))&gt;1),0,MATCH(U30,AA$11:AA$139,0))</f>
        <v>0</v>
      </c>
      <c r="AQ30" s="334">
        <f>IF(OR(TYPE(AA30)&gt;1,TYPE(MATCH(AA30,I$11:I$139,0))&gt;1),0,MATCH(AA30,I$11:I$139,0))+IF(OR(TYPE(AA30)&gt;1,TYPE(MATCH(AA30,O$11:O$139,0))&gt;1),0,MATCH(AA30,O$11:O$139,0))+IF(OR(TYPE(AA30)&gt;1,TYPE(MATCH(AA30,U$11:U$139,0))&gt;1),0,MATCH(U30,U$11:U$139,0))+IF(OR(TYPE(AA30)&gt;1,TYPE(MATCH(AA30,AA31:AA$139,0))&gt;1),0,MATCH(AA30,AA31:AA$139,0))</f>
        <v>0</v>
      </c>
      <c r="AR30" s="334">
        <f t="shared" si="12"/>
        <v>0</v>
      </c>
      <c r="AT30" s="333">
        <f t="shared" si="13"/>
        <v>0</v>
      </c>
      <c r="AU30" s="333">
        <f>IF(AND(N(I30)&gt;0,TYPE(VLOOKUP(I30,Hraci!$A$5:$A$800,1,0))&gt;3),1,0) + IF(AND(N(O30)&gt;0,TYPE(VLOOKUP(O30,Hraci!$A$5:$A$800,1,0))&gt;3),1,0) + IF(AND(N(U30)&gt;0,TYPE(VLOOKUP(U30,Hraci!$A$5:$A$800,1,0))&gt;3),1,0)</f>
        <v>0</v>
      </c>
      <c r="BF30" s="334">
        <f t="shared" si="14"/>
        <v>20</v>
      </c>
    </row>
    <row r="31" spans="1:58" ht="14.25" x14ac:dyDescent="0.3">
      <c r="A31" s="358">
        <f t="shared" si="2"/>
        <v>2</v>
      </c>
      <c r="B31" s="358">
        <f t="shared" si="3"/>
        <v>1</v>
      </c>
      <c r="C31" s="358">
        <f t="shared" si="4"/>
        <v>38.344999999999999</v>
      </c>
      <c r="D31" s="358">
        <f t="shared" si="5"/>
        <v>10312</v>
      </c>
      <c r="E31" s="358">
        <f t="shared" si="6"/>
        <v>118</v>
      </c>
      <c r="F31" s="359" t="str">
        <f t="shared" ca="1" si="7"/>
        <v>91038345989687999881158731</v>
      </c>
      <c r="G31" s="398" t="b">
        <f t="shared" si="8"/>
        <v>0</v>
      </c>
      <c r="H31" s="399">
        <f t="shared" si="9"/>
        <v>21</v>
      </c>
      <c r="I31" s="400">
        <v>10044</v>
      </c>
      <c r="J31" s="401" t="s">
        <v>355</v>
      </c>
      <c r="K31" s="402" t="s">
        <v>67</v>
      </c>
      <c r="L31" s="402" t="s">
        <v>168</v>
      </c>
      <c r="M31" s="403">
        <v>118</v>
      </c>
      <c r="N31" s="404">
        <v>22.172999999999998</v>
      </c>
      <c r="O31" s="400">
        <v>12069</v>
      </c>
      <c r="P31" s="401" t="s">
        <v>1189</v>
      </c>
      <c r="Q31" s="402" t="s">
        <v>39</v>
      </c>
      <c r="R31" s="402" t="s">
        <v>168</v>
      </c>
      <c r="S31" s="403">
        <v>195</v>
      </c>
      <c r="T31" s="404">
        <v>16.172000000000001</v>
      </c>
      <c r="U31" s="400" t="s">
        <v>2005</v>
      </c>
      <c r="V31" s="401" t="s">
        <v>1054</v>
      </c>
      <c r="W31" s="402" t="s">
        <v>1054</v>
      </c>
      <c r="X31" s="402" t="s">
        <v>1054</v>
      </c>
      <c r="Y31" s="403">
        <v>9999</v>
      </c>
      <c r="Z31" s="404">
        <v>0</v>
      </c>
      <c r="AA31" s="400" t="s">
        <v>2005</v>
      </c>
      <c r="AB31" s="401" t="s">
        <v>1054</v>
      </c>
      <c r="AC31" s="402" t="s">
        <v>1054</v>
      </c>
      <c r="AD31" s="402" t="s">
        <v>1054</v>
      </c>
      <c r="AE31" s="403">
        <v>9999</v>
      </c>
      <c r="AF31" s="404">
        <v>0</v>
      </c>
      <c r="AG31" s="409"/>
      <c r="AH31" s="445">
        <v>24</v>
      </c>
      <c r="AI31" s="405">
        <f>IF(N($AH31)&gt;0,VLOOKUP($AH31,Body!$A$4:$F$259,5,0),"")</f>
        <v>55.084218749999991</v>
      </c>
      <c r="AJ31" s="406">
        <f>IF(N($AH31)&gt;0,VLOOKUP($AH31,Body!$A$4:$F$259,6,0),"")</f>
        <v>0</v>
      </c>
      <c r="AK31" s="405">
        <f>IF(N($AH31)&gt;0,VLOOKUP($AH31,Body!$A$4:$F$259,2,0),"")</f>
        <v>1.5</v>
      </c>
      <c r="AL31" s="407" t="str">
        <f t="shared" si="10"/>
        <v>21 JAPKO - Kubík Jaroslav</v>
      </c>
      <c r="AM31" s="408">
        <f t="shared" si="11"/>
        <v>38.344999999999999</v>
      </c>
      <c r="AN31" s="334">
        <f>IF(OR(TYPE(I31)&gt;1,TYPE(MATCH(I31,I32:I$139,0))&gt;1),0,MATCH(I31,I32:I$139,0))+IF(OR(TYPE(I31)&gt;1,TYPE(MATCH(I31,O$11:O$139,0))&gt;1),0,MATCH(I31,O$11:O$139,0))+IF(OR(TYPE(I31)&gt;1,TYPE(MATCH(I31,U$11:U$139,0))&gt;1),0,MATCH(I31,U$11:U$139,0))+IF(OR(TYPE(I31)&gt;1,TYPE(MATCH(I31,AA$11:AA$139,0))&gt;1),0,MATCH(I31,AA$11:AA$139,0))</f>
        <v>0</v>
      </c>
      <c r="AO31" s="334">
        <f>IF(OR(TYPE(O31)&gt;1,TYPE(MATCH(O31,I$11:I$139,0))&gt;1),0,MATCH(O31,I$11:I$139,0))+IF(OR(TYPE(O31)&gt;1,TYPE(MATCH(O31,O32:O$139,0))&gt;1),0,MATCH(O31,O32:O$139,0))+IF(OR(TYPE(O31)&gt;1,TYPE(MATCH(O31,U$11:U$139,0))&gt;1),0,MATCH(O31,U$11:U$139,0))+IF(OR(TYPE(O31)&gt;1,TYPE(MATCH(O31,AA$11:AA$139,0))&gt;1),0,MATCH(O31,AA$11:AA$139,0))</f>
        <v>0</v>
      </c>
      <c r="AP31" s="334">
        <f>IF(OR(TYPE(U31)&gt;1,TYPE(MATCH(U31,I$11:I$139,0))&gt;1),0,MATCH(U31,I$11:I$139,0))+IF(OR(TYPE(U31)&gt;1,TYPE(MATCH(U31,O$11:O$139,0))&gt;1),0,MATCH(U31,O$11:O$139,0))+IF(OR(TYPE(U31)&gt;1,TYPE(MATCH(U31,U32:U$139,0))&gt;1),0,MATCH(U31,U32:U$139,0))+IF(OR(TYPE(U31)&gt;1,TYPE(MATCH(U31,AA$11:AA$139,0))&gt;1),0,MATCH(U31,AA$11:AA$139,0))</f>
        <v>0</v>
      </c>
      <c r="AQ31" s="334">
        <f>IF(OR(TYPE(AA31)&gt;1,TYPE(MATCH(AA31,I$11:I$139,0))&gt;1),0,MATCH(AA31,I$11:I$139,0))+IF(OR(TYPE(AA31)&gt;1,TYPE(MATCH(AA31,O$11:O$139,0))&gt;1),0,MATCH(AA31,O$11:O$139,0))+IF(OR(TYPE(AA31)&gt;1,TYPE(MATCH(AA31,U$11:U$139,0))&gt;1),0,MATCH(U31,U$11:U$139,0))+IF(OR(TYPE(AA31)&gt;1,TYPE(MATCH(AA31,AA32:AA$139,0))&gt;1),0,MATCH(AA31,AA32:AA$139,0))</f>
        <v>0</v>
      </c>
      <c r="AR31" s="334">
        <f t="shared" si="12"/>
        <v>0</v>
      </c>
      <c r="AT31" s="333">
        <f t="shared" si="13"/>
        <v>0</v>
      </c>
      <c r="AU31" s="333">
        <f>IF(AND(N(I31)&gt;0,TYPE(VLOOKUP(I31,Hraci!$A$5:$A$800,1,0))&gt;3),1,0) + IF(AND(N(O31)&gt;0,TYPE(VLOOKUP(O31,Hraci!$A$5:$A$800,1,0))&gt;3),1,0) + IF(AND(N(U31)&gt;0,TYPE(VLOOKUP(U31,Hraci!$A$5:$A$800,1,0))&gt;3),1,0)</f>
        <v>0</v>
      </c>
      <c r="BF31" s="334">
        <f t="shared" si="14"/>
        <v>21</v>
      </c>
    </row>
    <row r="32" spans="1:58" ht="14.25" x14ac:dyDescent="0.3">
      <c r="A32" s="358">
        <f t="shared" si="2"/>
        <v>2</v>
      </c>
      <c r="B32" s="358">
        <f t="shared" si="3"/>
        <v>1</v>
      </c>
      <c r="C32" s="358">
        <f t="shared" si="4"/>
        <v>35.72</v>
      </c>
      <c r="D32" s="358">
        <f t="shared" si="5"/>
        <v>10298</v>
      </c>
      <c r="E32" s="358">
        <f t="shared" si="6"/>
        <v>142</v>
      </c>
      <c r="F32" s="359" t="str">
        <f t="shared" ca="1" si="7"/>
        <v>91035720989701999857262636</v>
      </c>
      <c r="G32" s="398" t="b">
        <f t="shared" si="8"/>
        <v>0</v>
      </c>
      <c r="H32" s="399">
        <f t="shared" si="9"/>
        <v>22</v>
      </c>
      <c r="I32" s="400">
        <v>15065</v>
      </c>
      <c r="J32" s="401" t="s">
        <v>1605</v>
      </c>
      <c r="K32" s="402" t="s">
        <v>16</v>
      </c>
      <c r="L32" s="402" t="s">
        <v>1162</v>
      </c>
      <c r="M32" s="403">
        <v>142</v>
      </c>
      <c r="N32" s="404">
        <v>18.329000000000001</v>
      </c>
      <c r="O32" s="400">
        <v>28051</v>
      </c>
      <c r="P32" s="401" t="s">
        <v>222</v>
      </c>
      <c r="Q32" s="402" t="s">
        <v>223</v>
      </c>
      <c r="R32" s="402" t="s">
        <v>680</v>
      </c>
      <c r="S32" s="403">
        <v>157</v>
      </c>
      <c r="T32" s="404">
        <v>17.390999999999998</v>
      </c>
      <c r="U32" s="400" t="s">
        <v>2005</v>
      </c>
      <c r="V32" s="401" t="s">
        <v>1054</v>
      </c>
      <c r="W32" s="402" t="s">
        <v>1054</v>
      </c>
      <c r="X32" s="402" t="s">
        <v>1054</v>
      </c>
      <c r="Y32" s="403">
        <v>9999</v>
      </c>
      <c r="Z32" s="404">
        <v>0</v>
      </c>
      <c r="AA32" s="400" t="s">
        <v>2005</v>
      </c>
      <c r="AB32" s="401" t="s">
        <v>1054</v>
      </c>
      <c r="AC32" s="402" t="s">
        <v>1054</v>
      </c>
      <c r="AD32" s="402" t="s">
        <v>1054</v>
      </c>
      <c r="AE32" s="403">
        <v>9999</v>
      </c>
      <c r="AF32" s="404">
        <v>0</v>
      </c>
      <c r="AG32" s="409"/>
      <c r="AH32" s="445">
        <f ca="1">IF(TYPE(VLOOKUP(H32,Centrum!$A$3:$E$130,5,0))&lt;4,VLOOKUP(H32,Centrum!$A$3:$E$130,5,0),0)</f>
        <v>3</v>
      </c>
      <c r="AI32" s="405">
        <f ca="1">IF(N($AH32)&gt;0,VLOOKUP($AH32,Body!$A$4:$F$259,5,0),"")</f>
        <v>165.25265624999997</v>
      </c>
      <c r="AJ32" s="406">
        <f ca="1">IF(N($AH32)&gt;0,VLOOKUP($AH32,Body!$A$4:$F$259,6,0),"")</f>
        <v>0</v>
      </c>
      <c r="AK32" s="405">
        <f ca="1">IF(N($AH32)&gt;0,VLOOKUP($AH32,Body!$A$4:$F$259,2,0),"")</f>
        <v>4.5</v>
      </c>
      <c r="AL32" s="407" t="str">
        <f t="shared" si="10"/>
        <v>22 UBU Únětice - Palas Pavel</v>
      </c>
      <c r="AM32" s="408">
        <f t="shared" si="11"/>
        <v>35.72</v>
      </c>
      <c r="AN32" s="334">
        <f>IF(OR(TYPE(I32)&gt;1,TYPE(MATCH(I32,I33:I$139,0))&gt;1),0,MATCH(I32,I33:I$139,0))+IF(OR(TYPE(I32)&gt;1,TYPE(MATCH(I32,O$11:O$139,0))&gt;1),0,MATCH(I32,O$11:O$139,0))+IF(OR(TYPE(I32)&gt;1,TYPE(MATCH(I32,U$11:U$139,0))&gt;1),0,MATCH(I32,U$11:U$139,0))+IF(OR(TYPE(I32)&gt;1,TYPE(MATCH(I32,AA$11:AA$139,0))&gt;1),0,MATCH(I32,AA$11:AA$139,0))</f>
        <v>0</v>
      </c>
      <c r="AO32" s="334">
        <f>IF(OR(TYPE(O32)&gt;1,TYPE(MATCH(O32,I$11:I$139,0))&gt;1),0,MATCH(O32,I$11:I$139,0))+IF(OR(TYPE(O32)&gt;1,TYPE(MATCH(O32,O33:O$139,0))&gt;1),0,MATCH(O32,O33:O$139,0))+IF(OR(TYPE(O32)&gt;1,TYPE(MATCH(O32,U$11:U$139,0))&gt;1),0,MATCH(O32,U$11:U$139,0))+IF(OR(TYPE(O32)&gt;1,TYPE(MATCH(O32,AA$11:AA$139,0))&gt;1),0,MATCH(O32,AA$11:AA$139,0))</f>
        <v>0</v>
      </c>
      <c r="AP32" s="334">
        <f>IF(OR(TYPE(U32)&gt;1,TYPE(MATCH(U32,I$11:I$139,0))&gt;1),0,MATCH(U32,I$11:I$139,0))+IF(OR(TYPE(U32)&gt;1,TYPE(MATCH(U32,O$11:O$139,0))&gt;1),0,MATCH(U32,O$11:O$139,0))+IF(OR(TYPE(U32)&gt;1,TYPE(MATCH(U32,U33:U$139,0))&gt;1),0,MATCH(U32,U33:U$139,0))+IF(OR(TYPE(U32)&gt;1,TYPE(MATCH(U32,AA$11:AA$139,0))&gt;1),0,MATCH(U32,AA$11:AA$139,0))</f>
        <v>0</v>
      </c>
      <c r="AQ32" s="334">
        <f>IF(OR(TYPE(AA32)&gt;1,TYPE(MATCH(AA32,I$11:I$139,0))&gt;1),0,MATCH(AA32,I$11:I$139,0))+IF(OR(TYPE(AA32)&gt;1,TYPE(MATCH(AA32,O$11:O$139,0))&gt;1),0,MATCH(AA32,O$11:O$139,0))+IF(OR(TYPE(AA32)&gt;1,TYPE(MATCH(AA32,U$11:U$139,0))&gt;1),0,MATCH(U32,U$11:U$139,0))+IF(OR(TYPE(AA32)&gt;1,TYPE(MATCH(AA32,AA33:AA$139,0))&gt;1),0,MATCH(AA32,AA33:AA$139,0))</f>
        <v>0</v>
      </c>
      <c r="AR32" s="334">
        <f t="shared" si="12"/>
        <v>0</v>
      </c>
      <c r="AT32" s="333">
        <f t="shared" si="13"/>
        <v>0</v>
      </c>
      <c r="AU32" s="333">
        <f>IF(AND(N(I32)&gt;0,TYPE(VLOOKUP(I32,Hraci!$A$5:$A$800,1,0))&gt;3),1,0) + IF(AND(N(O32)&gt;0,TYPE(VLOOKUP(O32,Hraci!$A$5:$A$800,1,0))&gt;3),1,0) + IF(AND(N(U32)&gt;0,TYPE(VLOOKUP(U32,Hraci!$A$5:$A$800,1,0))&gt;3),1,0)</f>
        <v>0</v>
      </c>
      <c r="BF32" s="334">
        <f t="shared" si="14"/>
        <v>22</v>
      </c>
    </row>
    <row r="33" spans="1:58" ht="14.25" x14ac:dyDescent="0.3">
      <c r="A33" s="358">
        <f t="shared" si="2"/>
        <v>2</v>
      </c>
      <c r="B33" s="358">
        <f t="shared" si="3"/>
        <v>1</v>
      </c>
      <c r="C33" s="358">
        <f t="shared" si="4"/>
        <v>34.876000000000005</v>
      </c>
      <c r="D33" s="358">
        <f t="shared" si="5"/>
        <v>10371</v>
      </c>
      <c r="E33" s="317">
        <f t="shared" si="6"/>
        <v>184</v>
      </c>
      <c r="F33" s="359" t="str">
        <f t="shared" ca="1" si="7"/>
        <v>91034876989628999815904591</v>
      </c>
      <c r="G33" s="398" t="b">
        <f t="shared" si="8"/>
        <v>0</v>
      </c>
      <c r="H33" s="399">
        <f t="shared" si="9"/>
        <v>23</v>
      </c>
      <c r="I33" s="400">
        <v>14100</v>
      </c>
      <c r="J33" s="401" t="s">
        <v>1663</v>
      </c>
      <c r="K33" s="402" t="s">
        <v>112</v>
      </c>
      <c r="L33" s="402" t="s">
        <v>1142</v>
      </c>
      <c r="M33" s="403">
        <v>188</v>
      </c>
      <c r="N33" s="404">
        <v>17.782</v>
      </c>
      <c r="O33" s="400">
        <v>11048</v>
      </c>
      <c r="P33" s="401" t="s">
        <v>431</v>
      </c>
      <c r="Q33" s="402" t="s">
        <v>88</v>
      </c>
      <c r="R33" s="402" t="s">
        <v>1142</v>
      </c>
      <c r="S33" s="403">
        <v>184</v>
      </c>
      <c r="T33" s="404">
        <v>17.094000000000001</v>
      </c>
      <c r="U33" s="400" t="s">
        <v>2005</v>
      </c>
      <c r="V33" s="401" t="s">
        <v>1054</v>
      </c>
      <c r="W33" s="402" t="s">
        <v>1054</v>
      </c>
      <c r="X33" s="402" t="s">
        <v>1054</v>
      </c>
      <c r="Y33" s="403">
        <v>9999</v>
      </c>
      <c r="Z33" s="404">
        <v>0</v>
      </c>
      <c r="AA33" s="400" t="s">
        <v>2005</v>
      </c>
      <c r="AB33" s="401" t="s">
        <v>1054</v>
      </c>
      <c r="AC33" s="402" t="s">
        <v>1054</v>
      </c>
      <c r="AD33" s="402" t="s">
        <v>1054</v>
      </c>
      <c r="AE33" s="403">
        <v>9999</v>
      </c>
      <c r="AF33" s="404">
        <v>0</v>
      </c>
      <c r="AG33" s="409"/>
      <c r="AH33" s="445">
        <v>22</v>
      </c>
      <c r="AI33" s="405">
        <f>IF(N($AH33)&gt;0,VLOOKUP($AH33,Body!$A$4:$F$259,5,0),"")</f>
        <v>59.674570312499995</v>
      </c>
      <c r="AJ33" s="406">
        <f>IF(N($AH33)&gt;0,VLOOKUP($AH33,Body!$A$4:$F$259,6,0),"")</f>
        <v>0</v>
      </c>
      <c r="AK33" s="405">
        <f>IF(N($AH33)&gt;0,VLOOKUP($AH33,Body!$A$4:$F$259,2,0),"")</f>
        <v>1.625</v>
      </c>
      <c r="AL33" s="407" t="str">
        <f t="shared" si="10"/>
        <v>23 CdP Loděnice - Vedralová Kateřina</v>
      </c>
      <c r="AM33" s="408">
        <f t="shared" si="11"/>
        <v>34.876000000000005</v>
      </c>
      <c r="AN33" s="334">
        <f>IF(OR(TYPE(I33)&gt;1,TYPE(MATCH(I33,I34:I$139,0))&gt;1),0,MATCH(I33,I34:I$139,0))+IF(OR(TYPE(I33)&gt;1,TYPE(MATCH(I33,O$11:O$139,0))&gt;1),0,MATCH(I33,O$11:O$139,0))+IF(OR(TYPE(I33)&gt;1,TYPE(MATCH(I33,U$11:U$139,0))&gt;1),0,MATCH(I33,U$11:U$139,0))+IF(OR(TYPE(I33)&gt;1,TYPE(MATCH(I33,AA$11:AA$139,0))&gt;1),0,MATCH(I33,AA$11:AA$139,0))</f>
        <v>0</v>
      </c>
      <c r="AO33" s="334">
        <f>IF(OR(TYPE(O33)&gt;1,TYPE(MATCH(O33,I$11:I$139,0))&gt;1),0,MATCH(O33,I$11:I$139,0))+IF(OR(TYPE(O33)&gt;1,TYPE(MATCH(O33,O34:O$139,0))&gt;1),0,MATCH(O33,O34:O$139,0))+IF(OR(TYPE(O33)&gt;1,TYPE(MATCH(O33,U$11:U$139,0))&gt;1),0,MATCH(O33,U$11:U$139,0))+IF(OR(TYPE(O33)&gt;1,TYPE(MATCH(O33,AA$11:AA$139,0))&gt;1),0,MATCH(O33,AA$11:AA$139,0))</f>
        <v>0</v>
      </c>
      <c r="AP33" s="334">
        <f>IF(OR(TYPE(U33)&gt;1,TYPE(MATCH(U33,I$11:I$139,0))&gt;1),0,MATCH(U33,I$11:I$139,0))+IF(OR(TYPE(U33)&gt;1,TYPE(MATCH(U33,O$11:O$139,0))&gt;1),0,MATCH(U33,O$11:O$139,0))+IF(OR(TYPE(U33)&gt;1,TYPE(MATCH(U33,U34:U$139,0))&gt;1),0,MATCH(U33,U34:U$139,0))+IF(OR(TYPE(U33)&gt;1,TYPE(MATCH(U33,AA$11:AA$139,0))&gt;1),0,MATCH(U33,AA$11:AA$139,0))</f>
        <v>0</v>
      </c>
      <c r="AQ33" s="334">
        <f>IF(OR(TYPE(AA33)&gt;1,TYPE(MATCH(AA33,I$11:I$139,0))&gt;1),0,MATCH(AA33,I$11:I$139,0))+IF(OR(TYPE(AA33)&gt;1,TYPE(MATCH(AA33,O$11:O$139,0))&gt;1),0,MATCH(AA33,O$11:O$139,0))+IF(OR(TYPE(AA33)&gt;1,TYPE(MATCH(AA33,U$11:U$139,0))&gt;1),0,MATCH(U33,U$11:U$139,0))+IF(OR(TYPE(AA33)&gt;1,TYPE(MATCH(AA33,AA34:AA$139,0))&gt;1),0,MATCH(AA33,AA34:AA$139,0))</f>
        <v>0</v>
      </c>
      <c r="AR33" s="334">
        <f t="shared" si="12"/>
        <v>0</v>
      </c>
      <c r="AT33" s="333">
        <f t="shared" si="13"/>
        <v>0</v>
      </c>
      <c r="AU33" s="333">
        <f>IF(AND(N(I33)&gt;0,TYPE(VLOOKUP(I33,Hraci!$A$5:$A$800,1,0))&gt;3),1,0) + IF(AND(N(O33)&gt;0,TYPE(VLOOKUP(O33,Hraci!$A$5:$A$800,1,0))&gt;3),1,0) + IF(AND(N(U33)&gt;0,TYPE(VLOOKUP(U33,Hraci!$A$5:$A$800,1,0))&gt;3),1,0)</f>
        <v>0</v>
      </c>
      <c r="BF33" s="334">
        <f t="shared" si="14"/>
        <v>23</v>
      </c>
    </row>
    <row r="34" spans="1:58" ht="14.25" x14ac:dyDescent="0.3">
      <c r="A34" s="358">
        <f t="shared" si="2"/>
        <v>2</v>
      </c>
      <c r="B34" s="358">
        <f t="shared" si="3"/>
        <v>1</v>
      </c>
      <c r="C34" s="358">
        <f t="shared" si="4"/>
        <v>33.83</v>
      </c>
      <c r="D34" s="358">
        <f t="shared" si="5"/>
        <v>10372</v>
      </c>
      <c r="E34" s="358">
        <f t="shared" si="6"/>
        <v>80</v>
      </c>
      <c r="F34" s="359" t="str">
        <f t="shared" ca="1" si="7"/>
        <v>91033830989627999919338770</v>
      </c>
      <c r="G34" s="398" t="b">
        <f t="shared" si="8"/>
        <v>0</v>
      </c>
      <c r="H34" s="399">
        <f t="shared" si="9"/>
        <v>24</v>
      </c>
      <c r="I34" s="400">
        <v>15026</v>
      </c>
      <c r="J34" s="401" t="s">
        <v>641</v>
      </c>
      <c r="K34" s="402" t="s">
        <v>46</v>
      </c>
      <c r="L34" s="402" t="s">
        <v>1142</v>
      </c>
      <c r="M34" s="403">
        <v>293</v>
      </c>
      <c r="N34" s="404">
        <v>6.4859999999999998</v>
      </c>
      <c r="O34" s="400">
        <v>29058</v>
      </c>
      <c r="P34" s="401" t="s">
        <v>334</v>
      </c>
      <c r="Q34" s="402" t="s">
        <v>73</v>
      </c>
      <c r="R34" s="402" t="s">
        <v>1142</v>
      </c>
      <c r="S34" s="403">
        <v>80</v>
      </c>
      <c r="T34" s="404">
        <v>27.344000000000001</v>
      </c>
      <c r="U34" s="400" t="s">
        <v>2005</v>
      </c>
      <c r="V34" s="401" t="s">
        <v>1054</v>
      </c>
      <c r="W34" s="402" t="s">
        <v>1054</v>
      </c>
      <c r="X34" s="402" t="s">
        <v>1054</v>
      </c>
      <c r="Y34" s="403">
        <v>9999</v>
      </c>
      <c r="Z34" s="404">
        <v>0</v>
      </c>
      <c r="AA34" s="400" t="s">
        <v>2005</v>
      </c>
      <c r="AB34" s="401" t="s">
        <v>1054</v>
      </c>
      <c r="AC34" s="402" t="s">
        <v>1054</v>
      </c>
      <c r="AD34" s="402" t="s">
        <v>1054</v>
      </c>
      <c r="AE34" s="403">
        <v>9999</v>
      </c>
      <c r="AF34" s="404">
        <v>0</v>
      </c>
      <c r="AG34" s="409"/>
      <c r="AH34" s="445">
        <f ca="1">IF(TYPE(VLOOKUP(H34,Centrum!$A$3:$E$130,5,0))&lt;4,VLOOKUP(H34,Centrum!$A$3:$E$130,5,0),0)</f>
        <v>21</v>
      </c>
      <c r="AI34" s="405">
        <f ca="1">IF(N($AH34)&gt;0,VLOOKUP($AH34,Body!$A$4:$F$259,5,0),"")</f>
        <v>61.969746093749997</v>
      </c>
      <c r="AJ34" s="406">
        <f ca="1">IF(N($AH34)&gt;0,VLOOKUP($AH34,Body!$A$4:$F$259,6,0),"")</f>
        <v>0</v>
      </c>
      <c r="AK34" s="405">
        <f ca="1">IF(N($AH34)&gt;0,VLOOKUP($AH34,Body!$A$4:$F$259,2,0),"")</f>
        <v>1.6875</v>
      </c>
      <c r="AL34" s="407" t="str">
        <f t="shared" si="10"/>
        <v>24 CdP Loděnice - Čermák Jiří</v>
      </c>
      <c r="AM34" s="408">
        <f t="shared" si="11"/>
        <v>33.83</v>
      </c>
      <c r="AN34" s="334">
        <f>IF(OR(TYPE(I34)&gt;1,TYPE(MATCH(I34,I35:I$139,0))&gt;1),0,MATCH(I34,I35:I$139,0))+IF(OR(TYPE(I34)&gt;1,TYPE(MATCH(I34,O$11:O$139,0))&gt;1),0,MATCH(I34,O$11:O$139,0))+IF(OR(TYPE(I34)&gt;1,TYPE(MATCH(I34,U$11:U$139,0))&gt;1),0,MATCH(I34,U$11:U$139,0))+IF(OR(TYPE(I34)&gt;1,TYPE(MATCH(I34,AA$11:AA$139,0))&gt;1),0,MATCH(I34,AA$11:AA$139,0))</f>
        <v>0</v>
      </c>
      <c r="AO34" s="334">
        <f>IF(OR(TYPE(O34)&gt;1,TYPE(MATCH(O34,I$11:I$139,0))&gt;1),0,MATCH(O34,I$11:I$139,0))+IF(OR(TYPE(O34)&gt;1,TYPE(MATCH(O34,O35:O$139,0))&gt;1),0,MATCH(O34,O35:O$139,0))+IF(OR(TYPE(O34)&gt;1,TYPE(MATCH(O34,U$11:U$139,0))&gt;1),0,MATCH(O34,U$11:U$139,0))+IF(OR(TYPE(O34)&gt;1,TYPE(MATCH(O34,AA$11:AA$139,0))&gt;1),0,MATCH(O34,AA$11:AA$139,0))</f>
        <v>0</v>
      </c>
      <c r="AP34" s="334">
        <f>IF(OR(TYPE(U34)&gt;1,TYPE(MATCH(U34,I$11:I$139,0))&gt;1),0,MATCH(U34,I$11:I$139,0))+IF(OR(TYPE(U34)&gt;1,TYPE(MATCH(U34,O$11:O$139,0))&gt;1),0,MATCH(U34,O$11:O$139,0))+IF(OR(TYPE(U34)&gt;1,TYPE(MATCH(U34,U35:U$139,0))&gt;1),0,MATCH(U34,U35:U$139,0))+IF(OR(TYPE(U34)&gt;1,TYPE(MATCH(U34,AA$11:AA$139,0))&gt;1),0,MATCH(U34,AA$11:AA$139,0))</f>
        <v>0</v>
      </c>
      <c r="AQ34" s="334">
        <f>IF(OR(TYPE(AA34)&gt;1,TYPE(MATCH(AA34,I$11:I$139,0))&gt;1),0,MATCH(AA34,I$11:I$139,0))+IF(OR(TYPE(AA34)&gt;1,TYPE(MATCH(AA34,O$11:O$139,0))&gt;1),0,MATCH(AA34,O$11:O$139,0))+IF(OR(TYPE(AA34)&gt;1,TYPE(MATCH(AA34,U$11:U$139,0))&gt;1),0,MATCH(U34,U$11:U$139,0))+IF(OR(TYPE(AA34)&gt;1,TYPE(MATCH(AA34,AA35:AA$139,0))&gt;1),0,MATCH(AA34,AA35:AA$139,0))</f>
        <v>0</v>
      </c>
      <c r="AR34" s="334">
        <f t="shared" si="12"/>
        <v>0</v>
      </c>
      <c r="AT34" s="333">
        <f t="shared" si="13"/>
        <v>0</v>
      </c>
      <c r="AU34" s="333">
        <f>IF(AND(N(I34)&gt;0,TYPE(VLOOKUP(I34,Hraci!$A$5:$A$800,1,0))&gt;3),1,0) + IF(AND(N(O34)&gt;0,TYPE(VLOOKUP(O34,Hraci!$A$5:$A$800,1,0))&gt;3),1,0) + IF(AND(N(U34)&gt;0,TYPE(VLOOKUP(U34,Hraci!$A$5:$A$800,1,0))&gt;3),1,0)</f>
        <v>1</v>
      </c>
      <c r="BF34" s="334">
        <f t="shared" si="14"/>
        <v>24</v>
      </c>
    </row>
    <row r="35" spans="1:58" ht="14.25" x14ac:dyDescent="0.3">
      <c r="A35" s="358">
        <f t="shared" si="2"/>
        <v>2</v>
      </c>
      <c r="B35" s="358">
        <f t="shared" si="3"/>
        <v>1</v>
      </c>
      <c r="C35" s="358">
        <f t="shared" si="4"/>
        <v>32.024999999999999</v>
      </c>
      <c r="D35" s="358">
        <f t="shared" si="5"/>
        <v>10294</v>
      </c>
      <c r="E35" s="358">
        <f t="shared" si="6"/>
        <v>131</v>
      </c>
      <c r="F35" s="359" t="str">
        <f t="shared" ca="1" si="7"/>
        <v>91032025989705999868302279</v>
      </c>
      <c r="G35" s="398" t="b">
        <f t="shared" si="8"/>
        <v>0</v>
      </c>
      <c r="H35" s="399">
        <f t="shared" si="9"/>
        <v>25</v>
      </c>
      <c r="I35" s="400">
        <v>25075</v>
      </c>
      <c r="J35" s="401" t="s">
        <v>623</v>
      </c>
      <c r="K35" s="402" t="s">
        <v>32</v>
      </c>
      <c r="L35" s="402" t="s">
        <v>1170</v>
      </c>
      <c r="M35" s="403">
        <v>131</v>
      </c>
      <c r="N35" s="404">
        <v>17.751000000000001</v>
      </c>
      <c r="O35" s="400">
        <v>25015</v>
      </c>
      <c r="P35" s="401" t="s">
        <v>421</v>
      </c>
      <c r="Q35" s="402" t="s">
        <v>36</v>
      </c>
      <c r="R35" s="402" t="s">
        <v>1170</v>
      </c>
      <c r="S35" s="403">
        <v>164</v>
      </c>
      <c r="T35" s="404">
        <v>14.273999999999999</v>
      </c>
      <c r="U35" s="400" t="s">
        <v>2005</v>
      </c>
      <c r="V35" s="401" t="s">
        <v>1054</v>
      </c>
      <c r="W35" s="402" t="s">
        <v>1054</v>
      </c>
      <c r="X35" s="402" t="s">
        <v>1054</v>
      </c>
      <c r="Y35" s="403">
        <v>9999</v>
      </c>
      <c r="Z35" s="404">
        <v>0</v>
      </c>
      <c r="AA35" s="400" t="s">
        <v>2005</v>
      </c>
      <c r="AB35" s="401" t="s">
        <v>1054</v>
      </c>
      <c r="AC35" s="402" t="s">
        <v>1054</v>
      </c>
      <c r="AD35" s="402" t="s">
        <v>1054</v>
      </c>
      <c r="AE35" s="403">
        <v>9999</v>
      </c>
      <c r="AF35" s="404">
        <v>0</v>
      </c>
      <c r="AG35" s="409"/>
      <c r="AH35" s="445">
        <v>27</v>
      </c>
      <c r="AI35" s="405">
        <f>IF(N($AH35)&gt;0,VLOOKUP($AH35,Body!$A$4:$F$259,5,0),"")</f>
        <v>48.198691406249992</v>
      </c>
      <c r="AJ35" s="406">
        <f>IF(N($AH35)&gt;0,VLOOKUP($AH35,Body!$A$4:$F$259,6,0),"")</f>
        <v>0</v>
      </c>
      <c r="AK35" s="405">
        <f>IF(N($AH35)&gt;0,VLOOKUP($AH35,Body!$A$4:$F$259,2,0),"")</f>
        <v>1.3125</v>
      </c>
      <c r="AL35" s="407" t="str">
        <f t="shared" si="10"/>
        <v>25 PK Osika Plzeň - Špitálský Milan</v>
      </c>
      <c r="AM35" s="408">
        <f t="shared" si="11"/>
        <v>32.024999999999999</v>
      </c>
      <c r="AN35" s="334">
        <f>IF(OR(TYPE(I35)&gt;1,TYPE(MATCH(I35,I36:I$139,0))&gt;1),0,MATCH(I35,I36:I$139,0))+IF(OR(TYPE(I35)&gt;1,TYPE(MATCH(I35,O$11:O$139,0))&gt;1),0,MATCH(I35,O$11:O$139,0))+IF(OR(TYPE(I35)&gt;1,TYPE(MATCH(I35,U$11:U$139,0))&gt;1),0,MATCH(I35,U$11:U$139,0))+IF(OR(TYPE(I35)&gt;1,TYPE(MATCH(I35,AA$11:AA$139,0))&gt;1),0,MATCH(I35,AA$11:AA$139,0))</f>
        <v>0</v>
      </c>
      <c r="AO35" s="334">
        <f>IF(OR(TYPE(O35)&gt;1,TYPE(MATCH(O35,I$11:I$139,0))&gt;1),0,MATCH(O35,I$11:I$139,0))+IF(OR(TYPE(O35)&gt;1,TYPE(MATCH(O35,O36:O$139,0))&gt;1),0,MATCH(O35,O36:O$139,0))+IF(OR(TYPE(O35)&gt;1,TYPE(MATCH(O35,U$11:U$139,0))&gt;1),0,MATCH(O35,U$11:U$139,0))+IF(OR(TYPE(O35)&gt;1,TYPE(MATCH(O35,AA$11:AA$139,0))&gt;1),0,MATCH(O35,AA$11:AA$139,0))</f>
        <v>0</v>
      </c>
      <c r="AP35" s="334">
        <f>IF(OR(TYPE(U35)&gt;1,TYPE(MATCH(U35,I$11:I$139,0))&gt;1),0,MATCH(U35,I$11:I$139,0))+IF(OR(TYPE(U35)&gt;1,TYPE(MATCH(U35,O$11:O$139,0))&gt;1),0,MATCH(U35,O$11:O$139,0))+IF(OR(TYPE(U35)&gt;1,TYPE(MATCH(U35,U36:U$139,0))&gt;1),0,MATCH(U35,U36:U$139,0))+IF(OR(TYPE(U35)&gt;1,TYPE(MATCH(U35,AA$11:AA$139,0))&gt;1),0,MATCH(U35,AA$11:AA$139,0))</f>
        <v>0</v>
      </c>
      <c r="AQ35" s="334">
        <f>IF(OR(TYPE(AA35)&gt;1,TYPE(MATCH(AA35,I$11:I$139,0))&gt;1),0,MATCH(AA35,I$11:I$139,0))+IF(OR(TYPE(AA35)&gt;1,TYPE(MATCH(AA35,O$11:O$139,0))&gt;1),0,MATCH(AA35,O$11:O$139,0))+IF(OR(TYPE(AA35)&gt;1,TYPE(MATCH(AA35,U$11:U$139,0))&gt;1),0,MATCH(U35,U$11:U$139,0))+IF(OR(TYPE(AA35)&gt;1,TYPE(MATCH(AA35,AA36:AA$139,0))&gt;1),0,MATCH(AA35,AA36:AA$139,0))</f>
        <v>0</v>
      </c>
      <c r="AR35" s="334">
        <f t="shared" si="12"/>
        <v>0</v>
      </c>
      <c r="AT35" s="333">
        <f t="shared" si="13"/>
        <v>0</v>
      </c>
      <c r="AU35" s="333">
        <f>IF(AND(N(I35)&gt;0,TYPE(VLOOKUP(I35,Hraci!$A$5:$A$800,1,0))&gt;3),1,0) + IF(AND(N(O35)&gt;0,TYPE(VLOOKUP(O35,Hraci!$A$5:$A$800,1,0))&gt;3),1,0) + IF(AND(N(U35)&gt;0,TYPE(VLOOKUP(U35,Hraci!$A$5:$A$800,1,0))&gt;3),1,0)</f>
        <v>1</v>
      </c>
      <c r="BF35" s="334">
        <f t="shared" si="14"/>
        <v>25</v>
      </c>
    </row>
    <row r="36" spans="1:58" ht="14.25" x14ac:dyDescent="0.3">
      <c r="A36" s="358">
        <f t="shared" si="2"/>
        <v>2</v>
      </c>
      <c r="B36" s="358">
        <f t="shared" si="3"/>
        <v>1</v>
      </c>
      <c r="C36" s="358">
        <f t="shared" si="4"/>
        <v>27.783999999999999</v>
      </c>
      <c r="D36" s="358">
        <f t="shared" si="5"/>
        <v>10441</v>
      </c>
      <c r="E36" s="358">
        <f t="shared" si="6"/>
        <v>216</v>
      </c>
      <c r="F36" s="359" t="str">
        <f t="shared" ca="1" si="7"/>
        <v>91027784989558999783269125</v>
      </c>
      <c r="G36" s="398" t="b">
        <f t="shared" si="8"/>
        <v>0</v>
      </c>
      <c r="H36" s="399">
        <f t="shared" si="9"/>
        <v>26</v>
      </c>
      <c r="I36" s="400">
        <v>15033</v>
      </c>
      <c r="J36" s="401" t="s">
        <v>1579</v>
      </c>
      <c r="K36" s="402" t="s">
        <v>67</v>
      </c>
      <c r="L36" s="402" t="s">
        <v>58</v>
      </c>
      <c r="M36" s="403">
        <v>216</v>
      </c>
      <c r="N36" s="404">
        <v>14.596</v>
      </c>
      <c r="O36" s="400">
        <v>15034</v>
      </c>
      <c r="P36" s="401" t="s">
        <v>1476</v>
      </c>
      <c r="Q36" s="402" t="s">
        <v>1477</v>
      </c>
      <c r="R36" s="402" t="s">
        <v>58</v>
      </c>
      <c r="S36" s="403">
        <v>226</v>
      </c>
      <c r="T36" s="404">
        <v>13.188000000000001</v>
      </c>
      <c r="U36" s="400" t="s">
        <v>2005</v>
      </c>
      <c r="V36" s="401" t="s">
        <v>1054</v>
      </c>
      <c r="W36" s="402" t="s">
        <v>1054</v>
      </c>
      <c r="X36" s="402" t="s">
        <v>1054</v>
      </c>
      <c r="Y36" s="403">
        <v>9999</v>
      </c>
      <c r="Z36" s="404">
        <v>0</v>
      </c>
      <c r="AA36" s="400" t="s">
        <v>2005</v>
      </c>
      <c r="AB36" s="401" t="s">
        <v>1054</v>
      </c>
      <c r="AC36" s="402" t="s">
        <v>1054</v>
      </c>
      <c r="AD36" s="402" t="s">
        <v>1054</v>
      </c>
      <c r="AE36" s="403">
        <v>9999</v>
      </c>
      <c r="AF36" s="404">
        <v>0</v>
      </c>
      <c r="AG36" s="409"/>
      <c r="AH36" s="445">
        <v>41</v>
      </c>
      <c r="AI36" s="405">
        <f>IF(N($AH36)&gt;0,VLOOKUP($AH36,Body!$A$4:$F$259,5,0),"")</f>
        <v>26.394521484374998</v>
      </c>
      <c r="AJ36" s="406">
        <f>IF(N($AH36)&gt;0,VLOOKUP($AH36,Body!$A$4:$F$259,6,0),"")</f>
        <v>0</v>
      </c>
      <c r="AK36" s="405">
        <f>IF(N($AH36)&gt;0,VLOOKUP($AH36,Body!$A$4:$F$259,2,0),"")</f>
        <v>0.71875</v>
      </c>
      <c r="AL36" s="407" t="str">
        <f t="shared" si="10"/>
        <v>26 SKP Kulová osma - Lhoták Jaroslav</v>
      </c>
      <c r="AM36" s="408">
        <f t="shared" si="11"/>
        <v>27.783999999999999</v>
      </c>
      <c r="AN36" s="334">
        <f>IF(OR(TYPE(I36)&gt;1,TYPE(MATCH(I36,I37:I$139,0))&gt;1),0,MATCH(I36,I37:I$139,0))+IF(OR(TYPE(I36)&gt;1,TYPE(MATCH(I36,O$11:O$139,0))&gt;1),0,MATCH(I36,O$11:O$139,0))+IF(OR(TYPE(I36)&gt;1,TYPE(MATCH(I36,U$11:U$139,0))&gt;1),0,MATCH(I36,U$11:U$139,0))+IF(OR(TYPE(I36)&gt;1,TYPE(MATCH(I36,AA$11:AA$139,0))&gt;1),0,MATCH(I36,AA$11:AA$139,0))</f>
        <v>0</v>
      </c>
      <c r="AO36" s="334">
        <f>IF(OR(TYPE(O36)&gt;1,TYPE(MATCH(O36,I$11:I$139,0))&gt;1),0,MATCH(O36,I$11:I$139,0))+IF(OR(TYPE(O36)&gt;1,TYPE(MATCH(O36,O37:O$139,0))&gt;1),0,MATCH(O36,O37:O$139,0))+IF(OR(TYPE(O36)&gt;1,TYPE(MATCH(O36,U$11:U$139,0))&gt;1),0,MATCH(O36,U$11:U$139,0))+IF(OR(TYPE(O36)&gt;1,TYPE(MATCH(O36,AA$11:AA$139,0))&gt;1),0,MATCH(O36,AA$11:AA$139,0))</f>
        <v>0</v>
      </c>
      <c r="AP36" s="334">
        <f>IF(OR(TYPE(U36)&gt;1,TYPE(MATCH(U36,I$11:I$139,0))&gt;1),0,MATCH(U36,I$11:I$139,0))+IF(OR(TYPE(U36)&gt;1,TYPE(MATCH(U36,O$11:O$139,0))&gt;1),0,MATCH(U36,O$11:O$139,0))+IF(OR(TYPE(U36)&gt;1,TYPE(MATCH(U36,U37:U$139,0))&gt;1),0,MATCH(U36,U37:U$139,0))+IF(OR(TYPE(U36)&gt;1,TYPE(MATCH(U36,AA$11:AA$139,0))&gt;1),0,MATCH(U36,AA$11:AA$139,0))</f>
        <v>0</v>
      </c>
      <c r="AQ36" s="334">
        <f>IF(OR(TYPE(AA36)&gt;1,TYPE(MATCH(AA36,I$11:I$139,0))&gt;1),0,MATCH(AA36,I$11:I$139,0))+IF(OR(TYPE(AA36)&gt;1,TYPE(MATCH(AA36,O$11:O$139,0))&gt;1),0,MATCH(AA36,O$11:O$139,0))+IF(OR(TYPE(AA36)&gt;1,TYPE(MATCH(AA36,U$11:U$139,0))&gt;1),0,MATCH(U36,U$11:U$139,0))+IF(OR(TYPE(AA36)&gt;1,TYPE(MATCH(AA36,AA37:AA$139,0))&gt;1),0,MATCH(AA36,AA37:AA$139,0))</f>
        <v>0</v>
      </c>
      <c r="AR36" s="334">
        <f t="shared" si="12"/>
        <v>0</v>
      </c>
      <c r="AT36" s="333">
        <f t="shared" si="13"/>
        <v>0</v>
      </c>
      <c r="AU36" s="333">
        <f>IF(AND(N(I36)&gt;0,TYPE(VLOOKUP(I36,Hraci!$A$5:$A$800,1,0))&gt;3),1,0) + IF(AND(N(O36)&gt;0,TYPE(VLOOKUP(O36,Hraci!$A$5:$A$800,1,0))&gt;3),1,0) + IF(AND(N(U36)&gt;0,TYPE(VLOOKUP(U36,Hraci!$A$5:$A$800,1,0))&gt;3),1,0)</f>
        <v>0</v>
      </c>
      <c r="BF36" s="334">
        <f t="shared" si="14"/>
        <v>26</v>
      </c>
    </row>
    <row r="37" spans="1:58" ht="14.25" x14ac:dyDescent="0.3">
      <c r="A37" s="358">
        <f t="shared" si="2"/>
        <v>2</v>
      </c>
      <c r="B37" s="358">
        <f t="shared" si="3"/>
        <v>1</v>
      </c>
      <c r="C37" s="358">
        <f t="shared" si="4"/>
        <v>26.443000000000001</v>
      </c>
      <c r="D37" s="358">
        <f t="shared" si="5"/>
        <v>10415</v>
      </c>
      <c r="E37" s="358">
        <f t="shared" si="6"/>
        <v>205</v>
      </c>
      <c r="F37" s="359" t="str">
        <f t="shared" ca="1" si="7"/>
        <v>91026443989584999794576225</v>
      </c>
      <c r="G37" s="398" t="b">
        <f t="shared" si="8"/>
        <v>0</v>
      </c>
      <c r="H37" s="399">
        <f t="shared" si="9"/>
        <v>27</v>
      </c>
      <c r="I37" s="400">
        <v>14028</v>
      </c>
      <c r="J37" s="401" t="s">
        <v>1504</v>
      </c>
      <c r="K37" s="402" t="s">
        <v>1505</v>
      </c>
      <c r="L37" s="402" t="s">
        <v>1506</v>
      </c>
      <c r="M37" s="403">
        <v>205</v>
      </c>
      <c r="N37" s="404">
        <v>13.534000000000001</v>
      </c>
      <c r="O37" s="400">
        <v>14068</v>
      </c>
      <c r="P37" s="401" t="s">
        <v>1595</v>
      </c>
      <c r="Q37" s="402" t="s">
        <v>109</v>
      </c>
      <c r="R37" s="402" t="s">
        <v>1506</v>
      </c>
      <c r="S37" s="403">
        <v>211</v>
      </c>
      <c r="T37" s="404">
        <v>12.909000000000001</v>
      </c>
      <c r="U37" s="400" t="s">
        <v>2005</v>
      </c>
      <c r="V37" s="401" t="s">
        <v>1054</v>
      </c>
      <c r="W37" s="402" t="s">
        <v>1054</v>
      </c>
      <c r="X37" s="402" t="s">
        <v>1054</v>
      </c>
      <c r="Y37" s="403">
        <v>9999</v>
      </c>
      <c r="Z37" s="404">
        <v>0</v>
      </c>
      <c r="AA37" s="400" t="s">
        <v>2005</v>
      </c>
      <c r="AB37" s="401" t="s">
        <v>1054</v>
      </c>
      <c r="AC37" s="402" t="s">
        <v>1054</v>
      </c>
      <c r="AD37" s="402" t="s">
        <v>1054</v>
      </c>
      <c r="AE37" s="403">
        <v>9999</v>
      </c>
      <c r="AF37" s="404">
        <v>0</v>
      </c>
      <c r="AG37" s="409"/>
      <c r="AH37" s="445">
        <v>43</v>
      </c>
      <c r="AI37" s="405">
        <f>IF(N($AH37)&gt;0,VLOOKUP($AH37,Body!$A$4:$F$259,5,0),"")</f>
        <v>24.099345703124996</v>
      </c>
      <c r="AJ37" s="406">
        <f>IF(N($AH37)&gt;0,VLOOKUP($AH37,Body!$A$4:$F$259,6,0),"")</f>
        <v>0</v>
      </c>
      <c r="AK37" s="405">
        <f>IF(N($AH37)&gt;0,VLOOKUP($AH37,Body!$A$4:$F$259,2,0),"")</f>
        <v>0.65625</v>
      </c>
      <c r="AL37" s="407" t="str">
        <f t="shared" si="10"/>
        <v>27 Sokol Kostomlaty - Hercoková Milena</v>
      </c>
      <c r="AM37" s="408">
        <f t="shared" si="11"/>
        <v>26.443000000000001</v>
      </c>
      <c r="AN37" s="334">
        <f>IF(OR(TYPE(I37)&gt;1,TYPE(MATCH(I37,I38:I$139,0))&gt;1),0,MATCH(I37,I38:I$139,0))+IF(OR(TYPE(I37)&gt;1,TYPE(MATCH(I37,O$11:O$139,0))&gt;1),0,MATCH(I37,O$11:O$139,0))+IF(OR(TYPE(I37)&gt;1,TYPE(MATCH(I37,U$11:U$139,0))&gt;1),0,MATCH(I37,U$11:U$139,0))+IF(OR(TYPE(I37)&gt;1,TYPE(MATCH(I37,AA$11:AA$139,0))&gt;1),0,MATCH(I37,AA$11:AA$139,0))</f>
        <v>0</v>
      </c>
      <c r="AO37" s="334">
        <f>IF(OR(TYPE(O37)&gt;1,TYPE(MATCH(O37,I$11:I$139,0))&gt;1),0,MATCH(O37,I$11:I$139,0))+IF(OR(TYPE(O37)&gt;1,TYPE(MATCH(O37,O38:O$139,0))&gt;1),0,MATCH(O37,O38:O$139,0))+IF(OR(TYPE(O37)&gt;1,TYPE(MATCH(O37,U$11:U$139,0))&gt;1),0,MATCH(O37,U$11:U$139,0))+IF(OR(TYPE(O37)&gt;1,TYPE(MATCH(O37,AA$11:AA$139,0))&gt;1),0,MATCH(O37,AA$11:AA$139,0))</f>
        <v>0</v>
      </c>
      <c r="AP37" s="334">
        <f>IF(OR(TYPE(U37)&gt;1,TYPE(MATCH(U37,I$11:I$139,0))&gt;1),0,MATCH(U37,I$11:I$139,0))+IF(OR(TYPE(U37)&gt;1,TYPE(MATCH(U37,O$11:O$139,0))&gt;1),0,MATCH(U37,O$11:O$139,0))+IF(OR(TYPE(U37)&gt;1,TYPE(MATCH(U37,U38:U$139,0))&gt;1),0,MATCH(U37,U38:U$139,0))+IF(OR(TYPE(U37)&gt;1,TYPE(MATCH(U37,AA$11:AA$139,0))&gt;1),0,MATCH(U37,AA$11:AA$139,0))</f>
        <v>0</v>
      </c>
      <c r="AQ37" s="334">
        <f>IF(OR(TYPE(AA37)&gt;1,TYPE(MATCH(AA37,I$11:I$139,0))&gt;1),0,MATCH(AA37,I$11:I$139,0))+IF(OR(TYPE(AA37)&gt;1,TYPE(MATCH(AA37,O$11:O$139,0))&gt;1),0,MATCH(AA37,O$11:O$139,0))+IF(OR(TYPE(AA37)&gt;1,TYPE(MATCH(AA37,U$11:U$139,0))&gt;1),0,MATCH(U37,U$11:U$139,0))+IF(OR(TYPE(AA37)&gt;1,TYPE(MATCH(AA37,AA38:AA$139,0))&gt;1),0,MATCH(AA37,AA38:AA$139,0))</f>
        <v>0</v>
      </c>
      <c r="AR37" s="334">
        <f t="shared" si="12"/>
        <v>0</v>
      </c>
      <c r="AT37" s="333">
        <f t="shared" si="13"/>
        <v>0</v>
      </c>
      <c r="AU37" s="333">
        <f>IF(AND(N(I37)&gt;0,TYPE(VLOOKUP(I37,Hraci!$A$5:$A$800,1,0))&gt;3),1,0) + IF(AND(N(O37)&gt;0,TYPE(VLOOKUP(O37,Hraci!$A$5:$A$800,1,0))&gt;3),1,0) + IF(AND(N(U37)&gt;0,TYPE(VLOOKUP(U37,Hraci!$A$5:$A$800,1,0))&gt;3),1,0)</f>
        <v>0</v>
      </c>
      <c r="BF37" s="334">
        <f t="shared" si="14"/>
        <v>27</v>
      </c>
    </row>
    <row r="38" spans="1:58" ht="14.25" x14ac:dyDescent="0.3">
      <c r="A38" s="358">
        <f t="shared" si="2"/>
        <v>2</v>
      </c>
      <c r="B38" s="358">
        <f t="shared" si="3"/>
        <v>1</v>
      </c>
      <c r="C38" s="358">
        <f t="shared" si="4"/>
        <v>24.952999999999999</v>
      </c>
      <c r="D38" s="358">
        <f t="shared" si="5"/>
        <v>10576</v>
      </c>
      <c r="E38" s="358">
        <f t="shared" si="6"/>
        <v>166</v>
      </c>
      <c r="F38" s="359" t="str">
        <f t="shared" ca="1" si="7"/>
        <v>91024953989423999833507520</v>
      </c>
      <c r="G38" s="398" t="b">
        <f t="shared" si="8"/>
        <v>0</v>
      </c>
      <c r="H38" s="399">
        <f t="shared" si="9"/>
        <v>28</v>
      </c>
      <c r="I38" s="400">
        <v>96216</v>
      </c>
      <c r="J38" s="401" t="s">
        <v>375</v>
      </c>
      <c r="K38" s="402" t="s">
        <v>376</v>
      </c>
      <c r="L38" s="402" t="s">
        <v>1181</v>
      </c>
      <c r="M38" s="403">
        <v>166</v>
      </c>
      <c r="N38" s="404">
        <v>22.952999999999999</v>
      </c>
      <c r="O38" s="400">
        <v>24155</v>
      </c>
      <c r="P38" s="401" t="s">
        <v>341</v>
      </c>
      <c r="Q38" s="402" t="s">
        <v>67</v>
      </c>
      <c r="R38" s="402" t="s">
        <v>1172</v>
      </c>
      <c r="S38" s="403">
        <v>411</v>
      </c>
      <c r="T38" s="404">
        <v>2</v>
      </c>
      <c r="U38" s="400" t="s">
        <v>2005</v>
      </c>
      <c r="V38" s="401" t="s">
        <v>1054</v>
      </c>
      <c r="W38" s="402" t="s">
        <v>1054</v>
      </c>
      <c r="X38" s="402" t="s">
        <v>1054</v>
      </c>
      <c r="Y38" s="403">
        <v>9999</v>
      </c>
      <c r="Z38" s="404">
        <v>0</v>
      </c>
      <c r="AA38" s="400" t="s">
        <v>2005</v>
      </c>
      <c r="AB38" s="401" t="s">
        <v>1054</v>
      </c>
      <c r="AC38" s="402" t="s">
        <v>1054</v>
      </c>
      <c r="AD38" s="402" t="s">
        <v>1054</v>
      </c>
      <c r="AE38" s="403">
        <v>9999</v>
      </c>
      <c r="AF38" s="404">
        <v>0</v>
      </c>
      <c r="AG38" s="409"/>
      <c r="AH38" s="445">
        <v>37</v>
      </c>
      <c r="AI38" s="405">
        <f>IF(N($AH38)&gt;0,VLOOKUP($AH38,Body!$A$4:$F$259,5,0),"")</f>
        <v>30.984873046874998</v>
      </c>
      <c r="AJ38" s="406">
        <f>IF(N($AH38)&gt;0,VLOOKUP($AH38,Body!$A$4:$F$259,6,0),"")</f>
        <v>0</v>
      </c>
      <c r="AK38" s="405">
        <f>IF(N($AH38)&gt;0,VLOOKUP($AH38,Body!$A$4:$F$259,2,0),"")</f>
        <v>0.84375</v>
      </c>
      <c r="AL38" s="407" t="str">
        <f t="shared" si="10"/>
        <v>28 C.T.P. Club Ořech - Leiský Leander</v>
      </c>
      <c r="AM38" s="408">
        <f t="shared" si="11"/>
        <v>24.952999999999999</v>
      </c>
      <c r="AN38" s="334">
        <f>IF(OR(TYPE(I38)&gt;1,TYPE(MATCH(I38,I39:I$139,0))&gt;1),0,MATCH(I38,I39:I$139,0))+IF(OR(TYPE(I38)&gt;1,TYPE(MATCH(I38,O$11:O$139,0))&gt;1),0,MATCH(I38,O$11:O$139,0))+IF(OR(TYPE(I38)&gt;1,TYPE(MATCH(I38,U$11:U$139,0))&gt;1),0,MATCH(I38,U$11:U$139,0))+IF(OR(TYPE(I38)&gt;1,TYPE(MATCH(I38,AA$11:AA$139,0))&gt;1),0,MATCH(I38,AA$11:AA$139,0))</f>
        <v>0</v>
      </c>
      <c r="AO38" s="334">
        <f>IF(OR(TYPE(O38)&gt;1,TYPE(MATCH(O38,I$11:I$139,0))&gt;1),0,MATCH(O38,I$11:I$139,0))+IF(OR(TYPE(O38)&gt;1,TYPE(MATCH(O38,O39:O$139,0))&gt;1),0,MATCH(O38,O39:O$139,0))+IF(OR(TYPE(O38)&gt;1,TYPE(MATCH(O38,U$11:U$139,0))&gt;1),0,MATCH(O38,U$11:U$139,0))+IF(OR(TYPE(O38)&gt;1,TYPE(MATCH(O38,AA$11:AA$139,0))&gt;1),0,MATCH(O38,AA$11:AA$139,0))</f>
        <v>0</v>
      </c>
      <c r="AP38" s="334">
        <f>IF(OR(TYPE(U38)&gt;1,TYPE(MATCH(U38,I$11:I$139,0))&gt;1),0,MATCH(U38,I$11:I$139,0))+IF(OR(TYPE(U38)&gt;1,TYPE(MATCH(U38,O$11:O$139,0))&gt;1),0,MATCH(U38,O$11:O$139,0))+IF(OR(TYPE(U38)&gt;1,TYPE(MATCH(U38,U39:U$139,0))&gt;1),0,MATCH(U38,U39:U$139,0))+IF(OR(TYPE(U38)&gt;1,TYPE(MATCH(U38,AA$11:AA$139,0))&gt;1),0,MATCH(U38,AA$11:AA$139,0))</f>
        <v>0</v>
      </c>
      <c r="AQ38" s="334">
        <f>IF(OR(TYPE(AA38)&gt;1,TYPE(MATCH(AA38,I$11:I$139,0))&gt;1),0,MATCH(AA38,I$11:I$139,0))+IF(OR(TYPE(AA38)&gt;1,TYPE(MATCH(AA38,O$11:O$139,0))&gt;1),0,MATCH(AA38,O$11:O$139,0))+IF(OR(TYPE(AA38)&gt;1,TYPE(MATCH(AA38,U$11:U$139,0))&gt;1),0,MATCH(U38,U$11:U$139,0))+IF(OR(TYPE(AA38)&gt;1,TYPE(MATCH(AA38,AA39:AA$139,0))&gt;1),0,MATCH(AA38,AA39:AA$139,0))</f>
        <v>0</v>
      </c>
      <c r="AR38" s="334">
        <f t="shared" si="12"/>
        <v>0</v>
      </c>
      <c r="AT38" s="333">
        <f t="shared" si="13"/>
        <v>0</v>
      </c>
      <c r="AU38" s="333">
        <f>IF(AND(N(I38)&gt;0,TYPE(VLOOKUP(I38,Hraci!$A$5:$A$800,1,0))&gt;3),1,0) + IF(AND(N(O38)&gt;0,TYPE(VLOOKUP(O38,Hraci!$A$5:$A$800,1,0))&gt;3),1,0) + IF(AND(N(U38)&gt;0,TYPE(VLOOKUP(U38,Hraci!$A$5:$A$800,1,0))&gt;3),1,0)</f>
        <v>0</v>
      </c>
      <c r="BF38" s="334">
        <f t="shared" si="14"/>
        <v>28</v>
      </c>
    </row>
    <row r="39" spans="1:58" ht="14.25" x14ac:dyDescent="0.3">
      <c r="A39" s="358">
        <f t="shared" si="2"/>
        <v>2</v>
      </c>
      <c r="B39" s="358">
        <f t="shared" si="3"/>
        <v>1</v>
      </c>
      <c r="C39" s="358">
        <f t="shared" si="4"/>
        <v>24.306000000000001</v>
      </c>
      <c r="D39" s="358">
        <f t="shared" si="5"/>
        <v>10483</v>
      </c>
      <c r="E39" s="358">
        <f t="shared" si="6"/>
        <v>126</v>
      </c>
      <c r="F39" s="359" t="str">
        <f t="shared" ca="1" si="7"/>
        <v>91024306989516999873957798</v>
      </c>
      <c r="G39" s="398" t="b">
        <f t="shared" si="8"/>
        <v>0</v>
      </c>
      <c r="H39" s="399">
        <f t="shared" si="9"/>
        <v>29</v>
      </c>
      <c r="I39" s="400">
        <v>12042</v>
      </c>
      <c r="J39" s="401" t="s">
        <v>469</v>
      </c>
      <c r="K39" s="402" t="s">
        <v>54</v>
      </c>
      <c r="L39" s="402" t="s">
        <v>58</v>
      </c>
      <c r="M39" s="403">
        <v>126</v>
      </c>
      <c r="N39" s="404">
        <v>19.626000000000001</v>
      </c>
      <c r="O39" s="400">
        <v>16109</v>
      </c>
      <c r="P39" s="401" t="s">
        <v>1739</v>
      </c>
      <c r="Q39" s="402" t="s">
        <v>1565</v>
      </c>
      <c r="R39" s="402" t="s">
        <v>1169</v>
      </c>
      <c r="S39" s="403">
        <v>358</v>
      </c>
      <c r="T39" s="404">
        <v>4.68</v>
      </c>
      <c r="U39" s="400" t="s">
        <v>2005</v>
      </c>
      <c r="V39" s="401" t="s">
        <v>1054</v>
      </c>
      <c r="W39" s="402" t="s">
        <v>1054</v>
      </c>
      <c r="X39" s="402" t="s">
        <v>1054</v>
      </c>
      <c r="Y39" s="403">
        <v>9999</v>
      </c>
      <c r="Z39" s="404">
        <v>0</v>
      </c>
      <c r="AA39" s="400" t="s">
        <v>2005</v>
      </c>
      <c r="AB39" s="401" t="s">
        <v>1054</v>
      </c>
      <c r="AC39" s="402" t="s">
        <v>1054</v>
      </c>
      <c r="AD39" s="402" t="s">
        <v>1054</v>
      </c>
      <c r="AE39" s="403">
        <v>9999</v>
      </c>
      <c r="AF39" s="404">
        <v>0</v>
      </c>
      <c r="AG39" s="409"/>
      <c r="AH39" s="445">
        <v>32</v>
      </c>
      <c r="AI39" s="405">
        <f>IF(N($AH39)&gt;0,VLOOKUP($AH39,Body!$A$4:$F$259,5,0),"")</f>
        <v>36.722812499999996</v>
      </c>
      <c r="AJ39" s="406">
        <f>IF(N($AH39)&gt;0,VLOOKUP($AH39,Body!$A$4:$F$259,6,0),"")</f>
        <v>0</v>
      </c>
      <c r="AK39" s="405">
        <f>IF(N($AH39)&gt;0,VLOOKUP($AH39,Body!$A$4:$F$259,2,0),"")</f>
        <v>1</v>
      </c>
      <c r="AL39" s="407" t="str">
        <f t="shared" si="10"/>
        <v>29 SKP Kulová osma - Pilát Petr</v>
      </c>
      <c r="AM39" s="408">
        <f t="shared" si="11"/>
        <v>24.306000000000001</v>
      </c>
      <c r="AN39" s="334">
        <f>IF(OR(TYPE(I39)&gt;1,TYPE(MATCH(I39,I40:I$139,0))&gt;1),0,MATCH(I39,I40:I$139,0))+IF(OR(TYPE(I39)&gt;1,TYPE(MATCH(I39,O$11:O$139,0))&gt;1),0,MATCH(I39,O$11:O$139,0))+IF(OR(TYPE(I39)&gt;1,TYPE(MATCH(I39,U$11:U$139,0))&gt;1),0,MATCH(I39,U$11:U$139,0))+IF(OR(TYPE(I39)&gt;1,TYPE(MATCH(I39,AA$11:AA$139,0))&gt;1),0,MATCH(I39,AA$11:AA$139,0))</f>
        <v>0</v>
      </c>
      <c r="AO39" s="334">
        <f>IF(OR(TYPE(O39)&gt;1,TYPE(MATCH(O39,I$11:I$139,0))&gt;1),0,MATCH(O39,I$11:I$139,0))+IF(OR(TYPE(O39)&gt;1,TYPE(MATCH(O39,O40:O$139,0))&gt;1),0,MATCH(O39,O40:O$139,0))+IF(OR(TYPE(O39)&gt;1,TYPE(MATCH(O39,U$11:U$139,0))&gt;1),0,MATCH(O39,U$11:U$139,0))+IF(OR(TYPE(O39)&gt;1,TYPE(MATCH(O39,AA$11:AA$139,0))&gt;1),0,MATCH(O39,AA$11:AA$139,0))</f>
        <v>0</v>
      </c>
      <c r="AP39" s="334">
        <f>IF(OR(TYPE(U39)&gt;1,TYPE(MATCH(U39,I$11:I$139,0))&gt;1),0,MATCH(U39,I$11:I$139,0))+IF(OR(TYPE(U39)&gt;1,TYPE(MATCH(U39,O$11:O$139,0))&gt;1),0,MATCH(U39,O$11:O$139,0))+IF(OR(TYPE(U39)&gt;1,TYPE(MATCH(U39,U40:U$139,0))&gt;1),0,MATCH(U39,U40:U$139,0))+IF(OR(TYPE(U39)&gt;1,TYPE(MATCH(U39,AA$11:AA$139,0))&gt;1),0,MATCH(U39,AA$11:AA$139,0))</f>
        <v>0</v>
      </c>
      <c r="AQ39" s="334">
        <f>IF(OR(TYPE(AA39)&gt;1,TYPE(MATCH(AA39,I$11:I$139,0))&gt;1),0,MATCH(AA39,I$11:I$139,0))+IF(OR(TYPE(AA39)&gt;1,TYPE(MATCH(AA39,O$11:O$139,0))&gt;1),0,MATCH(AA39,O$11:O$139,0))+IF(OR(TYPE(AA39)&gt;1,TYPE(MATCH(AA39,U$11:U$139,0))&gt;1),0,MATCH(U39,U$11:U$139,0))+IF(OR(TYPE(AA39)&gt;1,TYPE(MATCH(AA39,AA40:AA$139,0))&gt;1),0,MATCH(AA39,AA40:AA$139,0))</f>
        <v>0</v>
      </c>
      <c r="AR39" s="334">
        <f t="shared" si="12"/>
        <v>0</v>
      </c>
      <c r="AT39" s="333">
        <f t="shared" si="13"/>
        <v>0</v>
      </c>
      <c r="AU39" s="333">
        <f>IF(AND(N(I39)&gt;0,TYPE(VLOOKUP(I39,Hraci!$A$5:$A$800,1,0))&gt;3),1,0) + IF(AND(N(O39)&gt;0,TYPE(VLOOKUP(O39,Hraci!$A$5:$A$800,1,0))&gt;3),1,0) + IF(AND(N(U39)&gt;0,TYPE(VLOOKUP(U39,Hraci!$A$5:$A$800,1,0))&gt;3),1,0)</f>
        <v>0</v>
      </c>
      <c r="BF39" s="334">
        <f t="shared" si="14"/>
        <v>29</v>
      </c>
    </row>
    <row r="40" spans="1:58" ht="14.25" x14ac:dyDescent="0.3">
      <c r="A40" s="358">
        <f t="shared" si="2"/>
        <v>2</v>
      </c>
      <c r="B40" s="358">
        <f t="shared" si="3"/>
        <v>1</v>
      </c>
      <c r="C40" s="358">
        <f t="shared" si="4"/>
        <v>22.9</v>
      </c>
      <c r="D40" s="358">
        <f t="shared" si="5"/>
        <v>10474</v>
      </c>
      <c r="E40" s="358">
        <f t="shared" si="6"/>
        <v>214</v>
      </c>
      <c r="F40" s="359" t="str">
        <f t="shared" ca="1" si="7"/>
        <v>91022900989525999785016288</v>
      </c>
      <c r="G40" s="398" t="b">
        <f t="shared" si="8"/>
        <v>0</v>
      </c>
      <c r="H40" s="399">
        <f t="shared" si="9"/>
        <v>30</v>
      </c>
      <c r="I40" s="400">
        <v>12079</v>
      </c>
      <c r="J40" s="401" t="s">
        <v>1204</v>
      </c>
      <c r="K40" s="402" t="s">
        <v>105</v>
      </c>
      <c r="L40" s="402" t="s">
        <v>58</v>
      </c>
      <c r="M40" s="403">
        <v>214</v>
      </c>
      <c r="N40" s="404">
        <v>12.5</v>
      </c>
      <c r="O40" s="400">
        <v>12080</v>
      </c>
      <c r="P40" s="401" t="s">
        <v>1192</v>
      </c>
      <c r="Q40" s="402" t="s">
        <v>101</v>
      </c>
      <c r="R40" s="402" t="s">
        <v>58</v>
      </c>
      <c r="S40" s="403">
        <v>261</v>
      </c>
      <c r="T40" s="404">
        <v>10.4</v>
      </c>
      <c r="U40" s="400" t="s">
        <v>2005</v>
      </c>
      <c r="V40" s="401" t="s">
        <v>1054</v>
      </c>
      <c r="W40" s="402" t="s">
        <v>1054</v>
      </c>
      <c r="X40" s="402" t="s">
        <v>1054</v>
      </c>
      <c r="Y40" s="403">
        <v>9999</v>
      </c>
      <c r="Z40" s="404">
        <v>0</v>
      </c>
      <c r="AA40" s="400" t="s">
        <v>2005</v>
      </c>
      <c r="AB40" s="401" t="s">
        <v>1054</v>
      </c>
      <c r="AC40" s="402" t="s">
        <v>1054</v>
      </c>
      <c r="AD40" s="402" t="s">
        <v>1054</v>
      </c>
      <c r="AE40" s="403">
        <v>9999</v>
      </c>
      <c r="AF40" s="404">
        <v>0</v>
      </c>
      <c r="AG40" s="409"/>
      <c r="AH40" s="445">
        <f ca="1">IF(TYPE(VLOOKUP(H40,Centrum!$A$3:$E$130,5,0))&lt;4,VLOOKUP(H40,Centrum!$A$3:$E$130,5,0),0)</f>
        <v>51</v>
      </c>
      <c r="AI40" s="405">
        <f ca="1">IF(N($AH40)&gt;0,VLOOKUP($AH40,Body!$A$4:$F$259,5,0),"")</f>
        <v>1</v>
      </c>
      <c r="AJ40" s="406">
        <f ca="1">IF(N($AH40)&gt;0,VLOOKUP($AH40,Body!$A$4:$F$259,6,0),"")</f>
        <v>0</v>
      </c>
      <c r="AK40" s="405">
        <f ca="1">IF(N($AH40)&gt;0,VLOOKUP($AH40,Body!$A$4:$F$259,2,0),"")</f>
        <v>0</v>
      </c>
      <c r="AL40" s="407" t="str">
        <f t="shared" si="10"/>
        <v>30 SKP Kulová osma - Slapnička Václav</v>
      </c>
      <c r="AM40" s="408">
        <f t="shared" si="11"/>
        <v>22.9</v>
      </c>
      <c r="AN40" s="334">
        <f>IF(OR(TYPE(I40)&gt;1,TYPE(MATCH(I40,I41:I$139,0))&gt;1),0,MATCH(I40,I41:I$139,0))+IF(OR(TYPE(I40)&gt;1,TYPE(MATCH(I40,O$11:O$139,0))&gt;1),0,MATCH(I40,O$11:O$139,0))+IF(OR(TYPE(I40)&gt;1,TYPE(MATCH(I40,U$11:U$139,0))&gt;1),0,MATCH(I40,U$11:U$139,0))+IF(OR(TYPE(I40)&gt;1,TYPE(MATCH(I40,AA$11:AA$139,0))&gt;1),0,MATCH(I40,AA$11:AA$139,0))</f>
        <v>0</v>
      </c>
      <c r="AO40" s="334">
        <f>IF(OR(TYPE(O40)&gt;1,TYPE(MATCH(O40,I$11:I$139,0))&gt;1),0,MATCH(O40,I$11:I$139,0))+IF(OR(TYPE(O40)&gt;1,TYPE(MATCH(O40,O41:O$139,0))&gt;1),0,MATCH(O40,O41:O$139,0))+IF(OR(TYPE(O40)&gt;1,TYPE(MATCH(O40,U$11:U$139,0))&gt;1),0,MATCH(O40,U$11:U$139,0))+IF(OR(TYPE(O40)&gt;1,TYPE(MATCH(O40,AA$11:AA$139,0))&gt;1),0,MATCH(O40,AA$11:AA$139,0))</f>
        <v>0</v>
      </c>
      <c r="AP40" s="334">
        <f>IF(OR(TYPE(U40)&gt;1,TYPE(MATCH(U40,I$11:I$139,0))&gt;1),0,MATCH(U40,I$11:I$139,0))+IF(OR(TYPE(U40)&gt;1,TYPE(MATCH(U40,O$11:O$139,0))&gt;1),0,MATCH(U40,O$11:O$139,0))+IF(OR(TYPE(U40)&gt;1,TYPE(MATCH(U40,U41:U$139,0))&gt;1),0,MATCH(U40,U41:U$139,0))+IF(OR(TYPE(U40)&gt;1,TYPE(MATCH(U40,AA$11:AA$139,0))&gt;1),0,MATCH(U40,AA$11:AA$139,0))</f>
        <v>0</v>
      </c>
      <c r="AQ40" s="334">
        <f>IF(OR(TYPE(AA40)&gt;1,TYPE(MATCH(AA40,I$11:I$139,0))&gt;1),0,MATCH(AA40,I$11:I$139,0))+IF(OR(TYPE(AA40)&gt;1,TYPE(MATCH(AA40,O$11:O$139,0))&gt;1),0,MATCH(AA40,O$11:O$139,0))+IF(OR(TYPE(AA40)&gt;1,TYPE(MATCH(AA40,U$11:U$139,0))&gt;1),0,MATCH(U40,U$11:U$139,0))+IF(OR(TYPE(AA40)&gt;1,TYPE(MATCH(AA40,AA41:AA$139,0))&gt;1),0,MATCH(AA40,AA41:AA$139,0))</f>
        <v>0</v>
      </c>
      <c r="AR40" s="334">
        <f t="shared" si="12"/>
        <v>0</v>
      </c>
      <c r="AT40" s="333">
        <f t="shared" si="13"/>
        <v>0</v>
      </c>
      <c r="AU40" s="333">
        <f>IF(AND(N(I40)&gt;0,TYPE(VLOOKUP(I40,Hraci!$A$5:$A$800,1,0))&gt;3),1,0) + IF(AND(N(O40)&gt;0,TYPE(VLOOKUP(O40,Hraci!$A$5:$A$800,1,0))&gt;3),1,0) + IF(AND(N(U40)&gt;0,TYPE(VLOOKUP(U40,Hraci!$A$5:$A$800,1,0))&gt;3),1,0)</f>
        <v>0</v>
      </c>
      <c r="BF40" s="334">
        <f t="shared" si="14"/>
        <v>30</v>
      </c>
    </row>
    <row r="41" spans="1:58" ht="14.25" x14ac:dyDescent="0.3">
      <c r="A41" s="358">
        <f t="shared" si="2"/>
        <v>2</v>
      </c>
      <c r="B41" s="358">
        <f t="shared" si="3"/>
        <v>1</v>
      </c>
      <c r="C41" s="358">
        <f t="shared" si="4"/>
        <v>21.401</v>
      </c>
      <c r="D41" s="358">
        <f t="shared" si="5"/>
        <v>10553</v>
      </c>
      <c r="E41" s="358">
        <f t="shared" si="6"/>
        <v>275</v>
      </c>
      <c r="F41" s="359" t="str">
        <f t="shared" ca="1" si="7"/>
        <v>91021401989446999724078379</v>
      </c>
      <c r="G41" s="398" t="b">
        <f t="shared" si="8"/>
        <v>0</v>
      </c>
      <c r="H41" s="399">
        <f t="shared" si="9"/>
        <v>31</v>
      </c>
      <c r="I41" s="400">
        <v>12031</v>
      </c>
      <c r="J41" s="401" t="s">
        <v>329</v>
      </c>
      <c r="K41" s="402" t="s">
        <v>330</v>
      </c>
      <c r="L41" s="402" t="s">
        <v>58</v>
      </c>
      <c r="M41" s="403">
        <v>279</v>
      </c>
      <c r="N41" s="404">
        <v>11.15</v>
      </c>
      <c r="O41" s="400">
        <v>12035</v>
      </c>
      <c r="P41" s="401" t="s">
        <v>221</v>
      </c>
      <c r="Q41" s="402" t="s">
        <v>101</v>
      </c>
      <c r="R41" s="402" t="s">
        <v>58</v>
      </c>
      <c r="S41" s="403">
        <v>275</v>
      </c>
      <c r="T41" s="404">
        <v>10.250999999999999</v>
      </c>
      <c r="U41" s="400" t="s">
        <v>2005</v>
      </c>
      <c r="V41" s="401" t="s">
        <v>1054</v>
      </c>
      <c r="W41" s="402" t="s">
        <v>1054</v>
      </c>
      <c r="X41" s="402" t="s">
        <v>1054</v>
      </c>
      <c r="Y41" s="403">
        <v>9999</v>
      </c>
      <c r="Z41" s="404">
        <v>0</v>
      </c>
      <c r="AA41" s="400" t="s">
        <v>2005</v>
      </c>
      <c r="AB41" s="401" t="s">
        <v>1054</v>
      </c>
      <c r="AC41" s="402" t="s">
        <v>1054</v>
      </c>
      <c r="AD41" s="402" t="s">
        <v>1054</v>
      </c>
      <c r="AE41" s="403">
        <v>9999</v>
      </c>
      <c r="AF41" s="404">
        <v>0</v>
      </c>
      <c r="AG41" s="409"/>
      <c r="AH41" s="445">
        <v>18</v>
      </c>
      <c r="AI41" s="405">
        <f>IF(N($AH41)&gt;0,VLOOKUP($AH41,Body!$A$4:$F$259,5,0),"")</f>
        <v>68.855273437499989</v>
      </c>
      <c r="AJ41" s="406">
        <f>IF(N($AH41)&gt;0,VLOOKUP($AH41,Body!$A$4:$F$259,6,0),"")</f>
        <v>0</v>
      </c>
      <c r="AK41" s="405">
        <f>IF(N($AH41)&gt;0,VLOOKUP($AH41,Body!$A$4:$F$259,2,0),"")</f>
        <v>1.875</v>
      </c>
      <c r="AL41" s="407" t="str">
        <f t="shared" si="10"/>
        <v>31 SKP Kulová osma - Koudelková Ema</v>
      </c>
      <c r="AM41" s="408">
        <f t="shared" si="11"/>
        <v>21.401</v>
      </c>
      <c r="AN41" s="334">
        <f>IF(OR(TYPE(I41)&gt;1,TYPE(MATCH(I41,I42:I$139,0))&gt;1),0,MATCH(I41,I42:I$139,0))+IF(OR(TYPE(I41)&gt;1,TYPE(MATCH(I41,O$11:O$139,0))&gt;1),0,MATCH(I41,O$11:O$139,0))+IF(OR(TYPE(I41)&gt;1,TYPE(MATCH(I41,U$11:U$139,0))&gt;1),0,MATCH(I41,U$11:U$139,0))+IF(OR(TYPE(I41)&gt;1,TYPE(MATCH(I41,AA$11:AA$139,0))&gt;1),0,MATCH(I41,AA$11:AA$139,0))</f>
        <v>0</v>
      </c>
      <c r="AO41" s="334">
        <f>IF(OR(TYPE(O41)&gt;1,TYPE(MATCH(O41,I$11:I$139,0))&gt;1),0,MATCH(O41,I$11:I$139,0))+IF(OR(TYPE(O41)&gt;1,TYPE(MATCH(O41,O42:O$139,0))&gt;1),0,MATCH(O41,O42:O$139,0))+IF(OR(TYPE(O41)&gt;1,TYPE(MATCH(O41,U$11:U$139,0))&gt;1),0,MATCH(O41,U$11:U$139,0))+IF(OR(TYPE(O41)&gt;1,TYPE(MATCH(O41,AA$11:AA$139,0))&gt;1),0,MATCH(O41,AA$11:AA$139,0))</f>
        <v>0</v>
      </c>
      <c r="AP41" s="334">
        <f>IF(OR(TYPE(U41)&gt;1,TYPE(MATCH(U41,I$11:I$139,0))&gt;1),0,MATCH(U41,I$11:I$139,0))+IF(OR(TYPE(U41)&gt;1,TYPE(MATCH(U41,O$11:O$139,0))&gt;1),0,MATCH(U41,O$11:O$139,0))+IF(OR(TYPE(U41)&gt;1,TYPE(MATCH(U41,U42:U$139,0))&gt;1),0,MATCH(U41,U42:U$139,0))+IF(OR(TYPE(U41)&gt;1,TYPE(MATCH(U41,AA$11:AA$139,0))&gt;1),0,MATCH(U41,AA$11:AA$139,0))</f>
        <v>0</v>
      </c>
      <c r="AQ41" s="334">
        <f>IF(OR(TYPE(AA41)&gt;1,TYPE(MATCH(AA41,I$11:I$139,0))&gt;1),0,MATCH(AA41,I$11:I$139,0))+IF(OR(TYPE(AA41)&gt;1,TYPE(MATCH(AA41,O$11:O$139,0))&gt;1),0,MATCH(AA41,O$11:O$139,0))+IF(OR(TYPE(AA41)&gt;1,TYPE(MATCH(AA41,U$11:U$139,0))&gt;1),0,MATCH(U41,U$11:U$139,0))+IF(OR(TYPE(AA41)&gt;1,TYPE(MATCH(AA41,AA42:AA$139,0))&gt;1),0,MATCH(AA41,AA42:AA$139,0))</f>
        <v>0</v>
      </c>
      <c r="AR41" s="334">
        <f t="shared" si="12"/>
        <v>0</v>
      </c>
      <c r="AT41" s="333">
        <f t="shared" si="13"/>
        <v>0</v>
      </c>
      <c r="AU41" s="333">
        <f>IF(AND(N(I41)&gt;0,TYPE(VLOOKUP(I41,Hraci!$A$5:$A$800,1,0))&gt;3),1,0) + IF(AND(N(O41)&gt;0,TYPE(VLOOKUP(O41,Hraci!$A$5:$A$800,1,0))&gt;3),1,0) + IF(AND(N(U41)&gt;0,TYPE(VLOOKUP(U41,Hraci!$A$5:$A$800,1,0))&gt;3),1,0)</f>
        <v>0</v>
      </c>
      <c r="BF41" s="334">
        <f t="shared" si="14"/>
        <v>31</v>
      </c>
    </row>
    <row r="42" spans="1:58" ht="14.25" x14ac:dyDescent="0.3">
      <c r="A42" s="358">
        <f t="shared" si="2"/>
        <v>2</v>
      </c>
      <c r="B42" s="358">
        <f t="shared" si="3"/>
        <v>1</v>
      </c>
      <c r="C42" s="358">
        <f t="shared" si="4"/>
        <v>20.353999999999999</v>
      </c>
      <c r="D42" s="358">
        <f t="shared" si="5"/>
        <v>10429</v>
      </c>
      <c r="E42" s="358">
        <f t="shared" si="6"/>
        <v>171</v>
      </c>
      <c r="F42" s="359" t="str">
        <f t="shared" ca="1" si="7"/>
        <v>91020354989570999828762677</v>
      </c>
      <c r="G42" s="398" t="b">
        <f t="shared" si="8"/>
        <v>0</v>
      </c>
      <c r="H42" s="399">
        <f t="shared" si="9"/>
        <v>32</v>
      </c>
      <c r="I42" s="400">
        <v>14081</v>
      </c>
      <c r="J42" s="401" t="s">
        <v>1445</v>
      </c>
      <c r="K42" s="402" t="s">
        <v>1188</v>
      </c>
      <c r="L42" s="402" t="s">
        <v>1437</v>
      </c>
      <c r="M42" s="403">
        <v>171</v>
      </c>
      <c r="N42" s="404">
        <v>14.766999999999999</v>
      </c>
      <c r="O42" s="400">
        <v>16118</v>
      </c>
      <c r="P42" s="401" t="s">
        <v>1716</v>
      </c>
      <c r="Q42" s="402" t="s">
        <v>94</v>
      </c>
      <c r="R42" s="402" t="s">
        <v>1437</v>
      </c>
      <c r="S42" s="403">
        <v>259</v>
      </c>
      <c r="T42" s="404">
        <v>5.5869999999999997</v>
      </c>
      <c r="U42" s="400" t="s">
        <v>2005</v>
      </c>
      <c r="V42" s="401" t="s">
        <v>1054</v>
      </c>
      <c r="W42" s="402" t="s">
        <v>1054</v>
      </c>
      <c r="X42" s="402" t="s">
        <v>1054</v>
      </c>
      <c r="Y42" s="403">
        <v>9999</v>
      </c>
      <c r="Z42" s="404">
        <v>0</v>
      </c>
      <c r="AA42" s="400" t="s">
        <v>2005</v>
      </c>
      <c r="AB42" s="401" t="s">
        <v>1054</v>
      </c>
      <c r="AC42" s="402" t="s">
        <v>1054</v>
      </c>
      <c r="AD42" s="402" t="s">
        <v>1054</v>
      </c>
      <c r="AE42" s="403">
        <v>9999</v>
      </c>
      <c r="AF42" s="404">
        <v>0</v>
      </c>
      <c r="AG42" s="409"/>
      <c r="AH42" s="445">
        <v>39</v>
      </c>
      <c r="AI42" s="405">
        <f>IF(N($AH42)&gt;0,VLOOKUP($AH42,Body!$A$4:$F$259,5,0),"")</f>
        <v>28.689697265624996</v>
      </c>
      <c r="AJ42" s="406">
        <f>IF(N($AH42)&gt;0,VLOOKUP($AH42,Body!$A$4:$F$259,6,0),"")</f>
        <v>0</v>
      </c>
      <c r="AK42" s="405">
        <f>IF(N($AH42)&gt;0,VLOOKUP($AH42,Body!$A$4:$F$259,2,0),"")</f>
        <v>0.78125</v>
      </c>
      <c r="AL42" s="407" t="str">
        <f t="shared" si="10"/>
        <v>32 Petank Club Praha - Boubínová Vendula</v>
      </c>
      <c r="AM42" s="408">
        <f t="shared" si="11"/>
        <v>20.353999999999999</v>
      </c>
      <c r="AN42" s="334">
        <f>IF(OR(TYPE(I42)&gt;1,TYPE(MATCH(I42,I43:I$139,0))&gt;1),0,MATCH(I42,I43:I$139,0))+IF(OR(TYPE(I42)&gt;1,TYPE(MATCH(I42,O$11:O$139,0))&gt;1),0,MATCH(I42,O$11:O$139,0))+IF(OR(TYPE(I42)&gt;1,TYPE(MATCH(I42,U$11:U$139,0))&gt;1),0,MATCH(I42,U$11:U$139,0))+IF(OR(TYPE(I42)&gt;1,TYPE(MATCH(I42,AA$11:AA$139,0))&gt;1),0,MATCH(I42,AA$11:AA$139,0))</f>
        <v>0</v>
      </c>
      <c r="AO42" s="334">
        <f>IF(OR(TYPE(O42)&gt;1,TYPE(MATCH(O42,I$11:I$139,0))&gt;1),0,MATCH(O42,I$11:I$139,0))+IF(OR(TYPE(O42)&gt;1,TYPE(MATCH(O42,O43:O$139,0))&gt;1),0,MATCH(O42,O43:O$139,0))+IF(OR(TYPE(O42)&gt;1,TYPE(MATCH(O42,U$11:U$139,0))&gt;1),0,MATCH(O42,U$11:U$139,0))+IF(OR(TYPE(O42)&gt;1,TYPE(MATCH(O42,AA$11:AA$139,0))&gt;1),0,MATCH(O42,AA$11:AA$139,0))</f>
        <v>0</v>
      </c>
      <c r="AP42" s="334">
        <f>IF(OR(TYPE(U42)&gt;1,TYPE(MATCH(U42,I$11:I$139,0))&gt;1),0,MATCH(U42,I$11:I$139,0))+IF(OR(TYPE(U42)&gt;1,TYPE(MATCH(U42,O$11:O$139,0))&gt;1),0,MATCH(U42,O$11:O$139,0))+IF(OR(TYPE(U42)&gt;1,TYPE(MATCH(U42,U43:U$139,0))&gt;1),0,MATCH(U42,U43:U$139,0))+IF(OR(TYPE(U42)&gt;1,TYPE(MATCH(U42,AA$11:AA$139,0))&gt;1),0,MATCH(U42,AA$11:AA$139,0))</f>
        <v>0</v>
      </c>
      <c r="AQ42" s="334">
        <f>IF(OR(TYPE(AA42)&gt;1,TYPE(MATCH(AA42,I$11:I$139,0))&gt;1),0,MATCH(AA42,I$11:I$139,0))+IF(OR(TYPE(AA42)&gt;1,TYPE(MATCH(AA42,O$11:O$139,0))&gt;1),0,MATCH(AA42,O$11:O$139,0))+IF(OR(TYPE(AA42)&gt;1,TYPE(MATCH(AA42,U$11:U$139,0))&gt;1),0,MATCH(U42,U$11:U$139,0))+IF(OR(TYPE(AA42)&gt;1,TYPE(MATCH(AA42,AA43:AA$139,0))&gt;1),0,MATCH(AA42,AA43:AA$139,0))</f>
        <v>0</v>
      </c>
      <c r="AR42" s="334">
        <f t="shared" si="12"/>
        <v>0</v>
      </c>
      <c r="AT42" s="333">
        <f t="shared" si="13"/>
        <v>0</v>
      </c>
      <c r="AU42" s="333">
        <f>IF(AND(N(I42)&gt;0,TYPE(VLOOKUP(I42,Hraci!$A$5:$A$800,1,0))&gt;3),1,0) + IF(AND(N(O42)&gt;0,TYPE(VLOOKUP(O42,Hraci!$A$5:$A$800,1,0))&gt;3),1,0) + IF(AND(N(U42)&gt;0,TYPE(VLOOKUP(U42,Hraci!$A$5:$A$800,1,0))&gt;3),1,0)</f>
        <v>0</v>
      </c>
      <c r="BF42" s="334">
        <f t="shared" si="14"/>
        <v>32</v>
      </c>
    </row>
    <row r="43" spans="1:58" ht="14.25" x14ac:dyDescent="0.3">
      <c r="A43" s="358">
        <f t="shared" ref="A43:A74" si="15">IF(OR(LEFT(J43,1)=" ",ISBLANK(J43)),0,1)+IF(OR(LEFT(P43,1)=" ",ISBLANK(P43)),0,1)+IF(OR(LEFT(V43,1)=" ",ISBLANK(V43)),0,1)</f>
        <v>2</v>
      </c>
      <c r="B43" s="358">
        <f t="shared" ref="B43:B74" si="16">IF(AND(TYPE(G43&lt;15),G43=FALSE),1,0)</f>
        <v>1</v>
      </c>
      <c r="C43" s="358">
        <f t="shared" ref="C43:C74" si="17">IF(B43=0,0,N43+T43+Z43)</f>
        <v>19.564</v>
      </c>
      <c r="D43" s="358">
        <f t="shared" ref="D43:D74" si="18">IF(B43=0,99999,M43+S43+Y43)</f>
        <v>10735</v>
      </c>
      <c r="E43" s="358">
        <f t="shared" ref="E43:E74" si="19">MIN(M43,S43,Y43)</f>
        <v>296</v>
      </c>
      <c r="F43" s="359" t="str">
        <f t="shared" ref="F43:F74" ca="1" si="20">CONCATENATE(IF(AND($P$4=1,H43&gt;$O$7),"0","9"),TEXT(B43,"0"),IF(AND($P$4=1,H43&gt;$O$7),"000000",TEXT(1000*C43,"000000")),IF(AND($P$4=1,H43&gt;$O$7),"000000",TEXT(999999-D43,"000000")),IF(AND($P$4=1,H43&gt;$O$7),"000000",TEXT(999999-E43,"000000")),TEXT(999999*RAND(),"000000"))</f>
        <v>91019564989264999703682454</v>
      </c>
      <c r="G43" s="398" t="b">
        <f t="shared" ref="G43:G74" si="21">IF(OR($K$6&gt;A43,AR43&gt;0),TRUE,FALSE)</f>
        <v>0</v>
      </c>
      <c r="H43" s="399">
        <f t="shared" ref="H43:H74" si="22">ROW(H43)-10</f>
        <v>33</v>
      </c>
      <c r="I43" s="400">
        <v>29060</v>
      </c>
      <c r="J43" s="401" t="s">
        <v>159</v>
      </c>
      <c r="K43" s="402" t="s">
        <v>1481</v>
      </c>
      <c r="L43" s="402" t="s">
        <v>1142</v>
      </c>
      <c r="M43" s="403">
        <v>440</v>
      </c>
      <c r="N43" s="404">
        <v>6.282</v>
      </c>
      <c r="O43" s="400">
        <v>29052</v>
      </c>
      <c r="P43" s="401" t="s">
        <v>452</v>
      </c>
      <c r="Q43" s="402" t="s">
        <v>72</v>
      </c>
      <c r="R43" s="402" t="s">
        <v>1142</v>
      </c>
      <c r="S43" s="403">
        <v>296</v>
      </c>
      <c r="T43" s="404">
        <v>13.282</v>
      </c>
      <c r="U43" s="400" t="s">
        <v>2005</v>
      </c>
      <c r="V43" s="401" t="s">
        <v>1054</v>
      </c>
      <c r="W43" s="402" t="s">
        <v>1054</v>
      </c>
      <c r="X43" s="402" t="s">
        <v>1054</v>
      </c>
      <c r="Y43" s="403">
        <v>9999</v>
      </c>
      <c r="Z43" s="404">
        <v>0</v>
      </c>
      <c r="AA43" s="400" t="s">
        <v>2005</v>
      </c>
      <c r="AB43" s="401" t="s">
        <v>1054</v>
      </c>
      <c r="AC43" s="402" t="s">
        <v>1054</v>
      </c>
      <c r="AD43" s="402" t="s">
        <v>1054</v>
      </c>
      <c r="AE43" s="403">
        <v>9999</v>
      </c>
      <c r="AF43" s="404">
        <v>0</v>
      </c>
      <c r="AG43" s="409"/>
      <c r="AH43" s="445">
        <v>45</v>
      </c>
      <c r="AI43" s="405">
        <f>IF(N($AH43)&gt;0,VLOOKUP($AH43,Body!$A$4:$F$259,5,0),"")</f>
        <v>21.804169921874998</v>
      </c>
      <c r="AJ43" s="406">
        <f>IF(N($AH43)&gt;0,VLOOKUP($AH43,Body!$A$4:$F$259,6,0),"")</f>
        <v>0</v>
      </c>
      <c r="AK43" s="405">
        <f>IF(N($AH43)&gt;0,VLOOKUP($AH43,Body!$A$4:$F$259,2,0),"")</f>
        <v>0.59375</v>
      </c>
      <c r="AL43" s="407" t="str">
        <f t="shared" ref="AL43:AL74" si="23">IF(N(H43)&gt;$K$7,"",CONCATENATE(IF($Y$9="","",H43&amp;" "),L43,IF(L43="",""," - "),J43," ",K43))</f>
        <v>33 CdP Loděnice - Fatka Stanislav ml.</v>
      </c>
      <c r="AM43" s="408">
        <f t="shared" ref="AM43:AM74" si="24">C43</f>
        <v>19.564</v>
      </c>
      <c r="AN43" s="334">
        <f>IF(OR(TYPE(I43)&gt;1,TYPE(MATCH(I43,I44:I$139,0))&gt;1),0,MATCH(I43,I44:I$139,0))+IF(OR(TYPE(I43)&gt;1,TYPE(MATCH(I43,O$11:O$139,0))&gt;1),0,MATCH(I43,O$11:O$139,0))+IF(OR(TYPE(I43)&gt;1,TYPE(MATCH(I43,U$11:U$139,0))&gt;1),0,MATCH(I43,U$11:U$139,0))+IF(OR(TYPE(I43)&gt;1,TYPE(MATCH(I43,AA$11:AA$139,0))&gt;1),0,MATCH(I43,AA$11:AA$139,0))</f>
        <v>0</v>
      </c>
      <c r="AO43" s="334">
        <f>IF(OR(TYPE(O43)&gt;1,TYPE(MATCH(O43,I$11:I$139,0))&gt;1),0,MATCH(O43,I$11:I$139,0))+IF(OR(TYPE(O43)&gt;1,TYPE(MATCH(O43,O44:O$139,0))&gt;1),0,MATCH(O43,O44:O$139,0))+IF(OR(TYPE(O43)&gt;1,TYPE(MATCH(O43,U$11:U$139,0))&gt;1),0,MATCH(O43,U$11:U$139,0))+IF(OR(TYPE(O43)&gt;1,TYPE(MATCH(O43,AA$11:AA$139,0))&gt;1),0,MATCH(O43,AA$11:AA$139,0))</f>
        <v>0</v>
      </c>
      <c r="AP43" s="334">
        <f>IF(OR(TYPE(U43)&gt;1,TYPE(MATCH(U43,I$11:I$139,0))&gt;1),0,MATCH(U43,I$11:I$139,0))+IF(OR(TYPE(U43)&gt;1,TYPE(MATCH(U43,O$11:O$139,0))&gt;1),0,MATCH(U43,O$11:O$139,0))+IF(OR(TYPE(U43)&gt;1,TYPE(MATCH(U43,U44:U$139,0))&gt;1),0,MATCH(U43,U44:U$139,0))+IF(OR(TYPE(U43)&gt;1,TYPE(MATCH(U43,AA$11:AA$139,0))&gt;1),0,MATCH(U43,AA$11:AA$139,0))</f>
        <v>0</v>
      </c>
      <c r="AQ43" s="334">
        <f>IF(OR(TYPE(AA43)&gt;1,TYPE(MATCH(AA43,I$11:I$139,0))&gt;1),0,MATCH(AA43,I$11:I$139,0))+IF(OR(TYPE(AA43)&gt;1,TYPE(MATCH(AA43,O$11:O$139,0))&gt;1),0,MATCH(AA43,O$11:O$139,0))+IF(OR(TYPE(AA43)&gt;1,TYPE(MATCH(AA43,U$11:U$139,0))&gt;1),0,MATCH(U43,U$11:U$139,0))+IF(OR(TYPE(AA43)&gt;1,TYPE(MATCH(AA43,AA44:AA$139,0))&gt;1),0,MATCH(AA43,AA44:AA$139,0))</f>
        <v>0</v>
      </c>
      <c r="AR43" s="334">
        <f t="shared" ref="AR43:AR74" si="25">SUM(AN43:AQ43)</f>
        <v>0</v>
      </c>
      <c r="AT43" s="333">
        <f t="shared" ref="AT43:AT74" si="26">IF(AU43=$K$6,1,0)</f>
        <v>0</v>
      </c>
      <c r="AU43" s="333">
        <f>IF(AND(N(I43)&gt;0,TYPE(VLOOKUP(I43,Hraci!$A$5:$A$800,1,0))&gt;3),1,0) + IF(AND(N(O43)&gt;0,TYPE(VLOOKUP(O43,Hraci!$A$5:$A$800,1,0))&gt;3),1,0) + IF(AND(N(U43)&gt;0,TYPE(VLOOKUP(U43,Hraci!$A$5:$A$800,1,0))&gt;3),1,0)</f>
        <v>0</v>
      </c>
      <c r="BF43" s="334">
        <f t="shared" si="14"/>
        <v>33</v>
      </c>
    </row>
    <row r="44" spans="1:58" ht="14.25" x14ac:dyDescent="0.3">
      <c r="A44" s="358">
        <f t="shared" si="15"/>
        <v>2</v>
      </c>
      <c r="B44" s="358">
        <f t="shared" si="16"/>
        <v>1</v>
      </c>
      <c r="C44" s="358">
        <f t="shared" si="17"/>
        <v>15.878</v>
      </c>
      <c r="D44" s="358">
        <f t="shared" si="18"/>
        <v>10696</v>
      </c>
      <c r="E44" s="358">
        <f t="shared" si="19"/>
        <v>348</v>
      </c>
      <c r="F44" s="359" t="str">
        <f t="shared" ca="1" si="20"/>
        <v>91015878989303999651540796</v>
      </c>
      <c r="G44" s="398" t="b">
        <f t="shared" si="21"/>
        <v>0</v>
      </c>
      <c r="H44" s="399">
        <f t="shared" si="22"/>
        <v>34</v>
      </c>
      <c r="I44" s="400">
        <v>13079</v>
      </c>
      <c r="J44" s="401" t="s">
        <v>29</v>
      </c>
      <c r="K44" s="402" t="s">
        <v>32</v>
      </c>
      <c r="L44" s="402" t="s">
        <v>1162</v>
      </c>
      <c r="M44" s="403">
        <v>348</v>
      </c>
      <c r="N44" s="404">
        <v>8.4079999999999995</v>
      </c>
      <c r="O44" s="400">
        <v>15042</v>
      </c>
      <c r="P44" s="401" t="s">
        <v>35</v>
      </c>
      <c r="Q44" s="402" t="s">
        <v>18</v>
      </c>
      <c r="R44" s="402" t="s">
        <v>1162</v>
      </c>
      <c r="S44" s="403">
        <v>349</v>
      </c>
      <c r="T44" s="404">
        <v>7.47</v>
      </c>
      <c r="U44" s="400" t="s">
        <v>2005</v>
      </c>
      <c r="V44" s="401" t="s">
        <v>1054</v>
      </c>
      <c r="W44" s="402" t="s">
        <v>1054</v>
      </c>
      <c r="X44" s="402" t="s">
        <v>1054</v>
      </c>
      <c r="Y44" s="403">
        <v>9999</v>
      </c>
      <c r="Z44" s="404">
        <v>0</v>
      </c>
      <c r="AA44" s="400" t="s">
        <v>2005</v>
      </c>
      <c r="AB44" s="401" t="s">
        <v>1054</v>
      </c>
      <c r="AC44" s="402" t="s">
        <v>1054</v>
      </c>
      <c r="AD44" s="402" t="s">
        <v>1054</v>
      </c>
      <c r="AE44" s="403">
        <v>9999</v>
      </c>
      <c r="AF44" s="404">
        <v>0</v>
      </c>
      <c r="AG44" s="409"/>
      <c r="AH44" s="445">
        <v>34</v>
      </c>
      <c r="AI44" s="405">
        <f>IF(N($AH44)&gt;0,VLOOKUP($AH44,Body!$A$4:$F$259,5,0),"")</f>
        <v>34.427636718749994</v>
      </c>
      <c r="AJ44" s="406">
        <f>IF(N($AH44)&gt;0,VLOOKUP($AH44,Body!$A$4:$F$259,6,0),"")</f>
        <v>0</v>
      </c>
      <c r="AK44" s="405">
        <f>IF(N($AH44)&gt;0,VLOOKUP($AH44,Body!$A$4:$F$259,2,0),"")</f>
        <v>0.9375</v>
      </c>
      <c r="AL44" s="407" t="str">
        <f t="shared" si="23"/>
        <v>34 UBU Únětice - Bayer Milan</v>
      </c>
      <c r="AM44" s="408">
        <f t="shared" si="24"/>
        <v>15.878</v>
      </c>
      <c r="AN44" s="334">
        <f>IF(OR(TYPE(I44)&gt;1,TYPE(MATCH(I44,I45:I$139,0))&gt;1),0,MATCH(I44,I45:I$139,0))+IF(OR(TYPE(I44)&gt;1,TYPE(MATCH(I44,O$11:O$139,0))&gt;1),0,MATCH(I44,O$11:O$139,0))+IF(OR(TYPE(I44)&gt;1,TYPE(MATCH(I44,U$11:U$139,0))&gt;1),0,MATCH(I44,U$11:U$139,0))+IF(OR(TYPE(I44)&gt;1,TYPE(MATCH(I44,AA$11:AA$139,0))&gt;1),0,MATCH(I44,AA$11:AA$139,0))</f>
        <v>0</v>
      </c>
      <c r="AO44" s="334">
        <f>IF(OR(TYPE(O44)&gt;1,TYPE(MATCH(O44,I$11:I$139,0))&gt;1),0,MATCH(O44,I$11:I$139,0))+IF(OR(TYPE(O44)&gt;1,TYPE(MATCH(O44,O45:O$139,0))&gt;1),0,MATCH(O44,O45:O$139,0))+IF(OR(TYPE(O44)&gt;1,TYPE(MATCH(O44,U$11:U$139,0))&gt;1),0,MATCH(O44,U$11:U$139,0))+IF(OR(TYPE(O44)&gt;1,TYPE(MATCH(O44,AA$11:AA$139,0))&gt;1),0,MATCH(O44,AA$11:AA$139,0))</f>
        <v>0</v>
      </c>
      <c r="AP44" s="334">
        <f>IF(OR(TYPE(U44)&gt;1,TYPE(MATCH(U44,I$11:I$139,0))&gt;1),0,MATCH(U44,I$11:I$139,0))+IF(OR(TYPE(U44)&gt;1,TYPE(MATCH(U44,O$11:O$139,0))&gt;1),0,MATCH(U44,O$11:O$139,0))+IF(OR(TYPE(U44)&gt;1,TYPE(MATCH(U44,U45:U$139,0))&gt;1),0,MATCH(U44,U45:U$139,0))+IF(OR(TYPE(U44)&gt;1,TYPE(MATCH(U44,AA$11:AA$139,0))&gt;1),0,MATCH(U44,AA$11:AA$139,0))</f>
        <v>0</v>
      </c>
      <c r="AQ44" s="334">
        <f>IF(OR(TYPE(AA44)&gt;1,TYPE(MATCH(AA44,I$11:I$139,0))&gt;1),0,MATCH(AA44,I$11:I$139,0))+IF(OR(TYPE(AA44)&gt;1,TYPE(MATCH(AA44,O$11:O$139,0))&gt;1),0,MATCH(AA44,O$11:O$139,0))+IF(OR(TYPE(AA44)&gt;1,TYPE(MATCH(AA44,U$11:U$139,0))&gt;1),0,MATCH(U44,U$11:U$139,0))+IF(OR(TYPE(AA44)&gt;1,TYPE(MATCH(AA44,AA45:AA$139,0))&gt;1),0,MATCH(AA44,AA45:AA$139,0))</f>
        <v>0</v>
      </c>
      <c r="AR44" s="334">
        <f t="shared" si="25"/>
        <v>0</v>
      </c>
      <c r="AT44" s="333">
        <f t="shared" si="26"/>
        <v>0</v>
      </c>
      <c r="AU44" s="333">
        <f>IF(AND(N(I44)&gt;0,TYPE(VLOOKUP(I44,Hraci!$A$5:$A$800,1,0))&gt;3),1,0) + IF(AND(N(O44)&gt;0,TYPE(VLOOKUP(O44,Hraci!$A$5:$A$800,1,0))&gt;3),1,0) + IF(AND(N(U44)&gt;0,TYPE(VLOOKUP(U44,Hraci!$A$5:$A$800,1,0))&gt;3),1,0)</f>
        <v>0</v>
      </c>
      <c r="BF44" s="334">
        <f t="shared" si="14"/>
        <v>34</v>
      </c>
    </row>
    <row r="45" spans="1:58" ht="14.25" x14ac:dyDescent="0.3">
      <c r="A45" s="358">
        <f t="shared" si="15"/>
        <v>2</v>
      </c>
      <c r="B45" s="358">
        <f t="shared" si="16"/>
        <v>1</v>
      </c>
      <c r="C45" s="358">
        <f t="shared" si="17"/>
        <v>15.860000000000001</v>
      </c>
      <c r="D45" s="358">
        <f t="shared" si="18"/>
        <v>10629</v>
      </c>
      <c r="E45" s="358">
        <f t="shared" si="19"/>
        <v>298</v>
      </c>
      <c r="F45" s="359" t="str">
        <f t="shared" ca="1" si="20"/>
        <v>91015860989370999701889115</v>
      </c>
      <c r="G45" s="398" t="b">
        <f t="shared" si="21"/>
        <v>0</v>
      </c>
      <c r="H45" s="399">
        <f t="shared" si="22"/>
        <v>35</v>
      </c>
      <c r="I45" s="400">
        <v>16058</v>
      </c>
      <c r="J45" s="401" t="s">
        <v>1599</v>
      </c>
      <c r="K45" s="402" t="s">
        <v>67</v>
      </c>
      <c r="L45" s="402" t="s">
        <v>1524</v>
      </c>
      <c r="M45" s="403">
        <v>298</v>
      </c>
      <c r="N45" s="404">
        <v>7.3680000000000003</v>
      </c>
      <c r="O45" s="400">
        <v>16059</v>
      </c>
      <c r="P45" s="401" t="s">
        <v>641</v>
      </c>
      <c r="Q45" s="402" t="s">
        <v>34</v>
      </c>
      <c r="R45" s="402" t="s">
        <v>1524</v>
      </c>
      <c r="S45" s="403">
        <v>332</v>
      </c>
      <c r="T45" s="404">
        <v>8.4920000000000009</v>
      </c>
      <c r="U45" s="400" t="s">
        <v>2005</v>
      </c>
      <c r="V45" s="401" t="s">
        <v>1054</v>
      </c>
      <c r="W45" s="402" t="s">
        <v>1054</v>
      </c>
      <c r="X45" s="402" t="s">
        <v>1054</v>
      </c>
      <c r="Y45" s="403">
        <v>9999</v>
      </c>
      <c r="Z45" s="404">
        <v>0</v>
      </c>
      <c r="AA45" s="400" t="s">
        <v>2005</v>
      </c>
      <c r="AB45" s="401" t="s">
        <v>1054</v>
      </c>
      <c r="AC45" s="402" t="s">
        <v>1054</v>
      </c>
      <c r="AD45" s="402" t="s">
        <v>1054</v>
      </c>
      <c r="AE45" s="403">
        <v>9999</v>
      </c>
      <c r="AF45" s="404">
        <v>0</v>
      </c>
      <c r="AG45" s="409"/>
      <c r="AH45" s="445">
        <f ca="1">IF(TYPE(VLOOKUP(H45,Centrum!$A$3:$E$130,5,0))&lt;4,VLOOKUP(H45,Centrum!$A$3:$E$130,5,0),0)</f>
        <v>16</v>
      </c>
      <c r="AI45" s="405">
        <f ca="1">IF(N($AH45)&gt;0,VLOOKUP($AH45,Body!$A$4:$F$259,5,0),"")</f>
        <v>73.445624999999993</v>
      </c>
      <c r="AJ45" s="406">
        <f ca="1">IF(N($AH45)&gt;0,VLOOKUP($AH45,Body!$A$4:$F$259,6,0),"")</f>
        <v>0</v>
      </c>
      <c r="AK45" s="405">
        <f ca="1">IF(N($AH45)&gt;0,VLOOKUP($AH45,Body!$A$4:$F$259,2,0),"")</f>
        <v>2</v>
      </c>
      <c r="AL45" s="407" t="str">
        <f t="shared" si="23"/>
        <v>35 Spolek Park Grébovka - Nepomucký Jaroslav</v>
      </c>
      <c r="AM45" s="408">
        <f t="shared" si="24"/>
        <v>15.860000000000001</v>
      </c>
      <c r="AN45" s="334">
        <f>IF(OR(TYPE(I45)&gt;1,TYPE(MATCH(I45,I46:I$139,0))&gt;1),0,MATCH(I45,I46:I$139,0))+IF(OR(TYPE(I45)&gt;1,TYPE(MATCH(I45,O$11:O$139,0))&gt;1),0,MATCH(I45,O$11:O$139,0))+IF(OR(TYPE(I45)&gt;1,TYPE(MATCH(I45,U$11:U$139,0))&gt;1),0,MATCH(I45,U$11:U$139,0))+IF(OR(TYPE(I45)&gt;1,TYPE(MATCH(I45,AA$11:AA$139,0))&gt;1),0,MATCH(I45,AA$11:AA$139,0))</f>
        <v>0</v>
      </c>
      <c r="AO45" s="334">
        <f>IF(OR(TYPE(O45)&gt;1,TYPE(MATCH(O45,I$11:I$139,0))&gt;1),0,MATCH(O45,I$11:I$139,0))+IF(OR(TYPE(O45)&gt;1,TYPE(MATCH(O45,O46:O$139,0))&gt;1),0,MATCH(O45,O46:O$139,0))+IF(OR(TYPE(O45)&gt;1,TYPE(MATCH(O45,U$11:U$139,0))&gt;1),0,MATCH(O45,U$11:U$139,0))+IF(OR(TYPE(O45)&gt;1,TYPE(MATCH(O45,AA$11:AA$139,0))&gt;1),0,MATCH(O45,AA$11:AA$139,0))</f>
        <v>0</v>
      </c>
      <c r="AP45" s="334">
        <f>IF(OR(TYPE(U45)&gt;1,TYPE(MATCH(U45,I$11:I$139,0))&gt;1),0,MATCH(U45,I$11:I$139,0))+IF(OR(TYPE(U45)&gt;1,TYPE(MATCH(U45,O$11:O$139,0))&gt;1),0,MATCH(U45,O$11:O$139,0))+IF(OR(TYPE(U45)&gt;1,TYPE(MATCH(U45,U46:U$139,0))&gt;1),0,MATCH(U45,U46:U$139,0))+IF(OR(TYPE(U45)&gt;1,TYPE(MATCH(U45,AA$11:AA$139,0))&gt;1),0,MATCH(U45,AA$11:AA$139,0))</f>
        <v>0</v>
      </c>
      <c r="AQ45" s="334">
        <f>IF(OR(TYPE(AA45)&gt;1,TYPE(MATCH(AA45,I$11:I$139,0))&gt;1),0,MATCH(AA45,I$11:I$139,0))+IF(OR(TYPE(AA45)&gt;1,TYPE(MATCH(AA45,O$11:O$139,0))&gt;1),0,MATCH(AA45,O$11:O$139,0))+IF(OR(TYPE(AA45)&gt;1,TYPE(MATCH(AA45,U$11:U$139,0))&gt;1),0,MATCH(U45,U$11:U$139,0))+IF(OR(TYPE(AA45)&gt;1,TYPE(MATCH(AA45,AA46:AA$139,0))&gt;1),0,MATCH(AA45,AA46:AA$139,0))</f>
        <v>0</v>
      </c>
      <c r="AR45" s="334">
        <f t="shared" si="25"/>
        <v>0</v>
      </c>
      <c r="AT45" s="333">
        <f t="shared" si="26"/>
        <v>0</v>
      </c>
      <c r="AU45" s="333">
        <f>IF(AND(N(I45)&gt;0,TYPE(VLOOKUP(I45,Hraci!$A$5:$A$800,1,0))&gt;3),1,0) + IF(AND(N(O45)&gt;0,TYPE(VLOOKUP(O45,Hraci!$A$5:$A$800,1,0))&gt;3),1,0) + IF(AND(N(U45)&gt;0,TYPE(VLOOKUP(U45,Hraci!$A$5:$A$800,1,0))&gt;3),1,0)</f>
        <v>1</v>
      </c>
      <c r="BF45" s="334">
        <f t="shared" si="14"/>
        <v>35</v>
      </c>
    </row>
    <row r="46" spans="1:58" ht="14.25" x14ac:dyDescent="0.3">
      <c r="A46" s="358">
        <f t="shared" si="15"/>
        <v>2</v>
      </c>
      <c r="B46" s="358">
        <f t="shared" si="16"/>
        <v>1</v>
      </c>
      <c r="C46" s="358">
        <f t="shared" si="17"/>
        <v>15.674999999999999</v>
      </c>
      <c r="D46" s="358">
        <f t="shared" si="18"/>
        <v>10797</v>
      </c>
      <c r="E46" s="358">
        <f t="shared" si="19"/>
        <v>177</v>
      </c>
      <c r="F46" s="359" t="str">
        <f t="shared" ca="1" si="20"/>
        <v>91015675989202999822447882</v>
      </c>
      <c r="G46" s="398" t="b">
        <f t="shared" si="21"/>
        <v>0</v>
      </c>
      <c r="H46" s="399">
        <f t="shared" si="22"/>
        <v>36</v>
      </c>
      <c r="I46" s="400">
        <v>15043</v>
      </c>
      <c r="J46" s="401" t="s">
        <v>1613</v>
      </c>
      <c r="K46" s="402" t="s">
        <v>448</v>
      </c>
      <c r="L46" s="402" t="s">
        <v>1162</v>
      </c>
      <c r="M46" s="403">
        <v>177</v>
      </c>
      <c r="N46" s="404">
        <v>14.831</v>
      </c>
      <c r="O46" s="400">
        <v>13028</v>
      </c>
      <c r="P46" s="401" t="s">
        <v>1183</v>
      </c>
      <c r="Q46" s="402" t="s">
        <v>78</v>
      </c>
      <c r="R46" s="402" t="s">
        <v>1169</v>
      </c>
      <c r="S46" s="403">
        <v>621</v>
      </c>
      <c r="T46" s="404">
        <v>0.84399999999999997</v>
      </c>
      <c r="U46" s="400" t="s">
        <v>2005</v>
      </c>
      <c r="V46" s="401" t="s">
        <v>1054</v>
      </c>
      <c r="W46" s="402" t="s">
        <v>1054</v>
      </c>
      <c r="X46" s="402" t="s">
        <v>1054</v>
      </c>
      <c r="Y46" s="403">
        <v>9999</v>
      </c>
      <c r="Z46" s="404">
        <v>0</v>
      </c>
      <c r="AA46" s="400" t="s">
        <v>2005</v>
      </c>
      <c r="AB46" s="401" t="s">
        <v>1054</v>
      </c>
      <c r="AC46" s="402" t="s">
        <v>1054</v>
      </c>
      <c r="AD46" s="402" t="s">
        <v>1054</v>
      </c>
      <c r="AE46" s="403">
        <v>9999</v>
      </c>
      <c r="AF46" s="404">
        <v>0</v>
      </c>
      <c r="AG46" s="409"/>
      <c r="AH46" s="445">
        <f ca="1">IF(TYPE(VLOOKUP(H46,Centrum!$A$3:$E$130,5,0))&lt;4,VLOOKUP(H46,Centrum!$A$3:$E$130,5,0),0)</f>
        <v>49</v>
      </c>
      <c r="AI46" s="405">
        <f ca="1">IF(N($AH46)&gt;0,VLOOKUP($AH46,Body!$A$4:$F$259,5,0),"")</f>
        <v>17.213818359374997</v>
      </c>
      <c r="AJ46" s="406">
        <f ca="1">IF(N($AH46)&gt;0,VLOOKUP($AH46,Body!$A$4:$F$259,6,0),"")</f>
        <v>0</v>
      </c>
      <c r="AK46" s="405">
        <f ca="1">IF(N($AH46)&gt;0,VLOOKUP($AH46,Body!$A$4:$F$259,2,0),"")</f>
        <v>0.46875</v>
      </c>
      <c r="AL46" s="407" t="str">
        <f t="shared" si="23"/>
        <v>36 UBU Únětice - Pflimpflová Alexandra</v>
      </c>
      <c r="AM46" s="408">
        <f t="shared" si="24"/>
        <v>15.674999999999999</v>
      </c>
      <c r="AN46" s="334">
        <f>IF(OR(TYPE(I46)&gt;1,TYPE(MATCH(I46,I47:I$139,0))&gt;1),0,MATCH(I46,I47:I$139,0))+IF(OR(TYPE(I46)&gt;1,TYPE(MATCH(I46,O$11:O$139,0))&gt;1),0,MATCH(I46,O$11:O$139,0))+IF(OR(TYPE(I46)&gt;1,TYPE(MATCH(I46,U$11:U$139,0))&gt;1),0,MATCH(I46,U$11:U$139,0))+IF(OR(TYPE(I46)&gt;1,TYPE(MATCH(I46,AA$11:AA$139,0))&gt;1),0,MATCH(I46,AA$11:AA$139,0))</f>
        <v>0</v>
      </c>
      <c r="AO46" s="334">
        <f>IF(OR(TYPE(O46)&gt;1,TYPE(MATCH(O46,I$11:I$139,0))&gt;1),0,MATCH(O46,I$11:I$139,0))+IF(OR(TYPE(O46)&gt;1,TYPE(MATCH(O46,O47:O$139,0))&gt;1),0,MATCH(O46,O47:O$139,0))+IF(OR(TYPE(O46)&gt;1,TYPE(MATCH(O46,U$11:U$139,0))&gt;1),0,MATCH(O46,U$11:U$139,0))+IF(OR(TYPE(O46)&gt;1,TYPE(MATCH(O46,AA$11:AA$139,0))&gt;1),0,MATCH(O46,AA$11:AA$139,0))</f>
        <v>0</v>
      </c>
      <c r="AP46" s="334">
        <f>IF(OR(TYPE(U46)&gt;1,TYPE(MATCH(U46,I$11:I$139,0))&gt;1),0,MATCH(U46,I$11:I$139,0))+IF(OR(TYPE(U46)&gt;1,TYPE(MATCH(U46,O$11:O$139,0))&gt;1),0,MATCH(U46,O$11:O$139,0))+IF(OR(TYPE(U46)&gt;1,TYPE(MATCH(U46,U47:U$139,0))&gt;1),0,MATCH(U46,U47:U$139,0))+IF(OR(TYPE(U46)&gt;1,TYPE(MATCH(U46,AA$11:AA$139,0))&gt;1),0,MATCH(U46,AA$11:AA$139,0))</f>
        <v>0</v>
      </c>
      <c r="AQ46" s="334">
        <f>IF(OR(TYPE(AA46)&gt;1,TYPE(MATCH(AA46,I$11:I$139,0))&gt;1),0,MATCH(AA46,I$11:I$139,0))+IF(OR(TYPE(AA46)&gt;1,TYPE(MATCH(AA46,O$11:O$139,0))&gt;1),0,MATCH(AA46,O$11:O$139,0))+IF(OR(TYPE(AA46)&gt;1,TYPE(MATCH(AA46,U$11:U$139,0))&gt;1),0,MATCH(U46,U$11:U$139,0))+IF(OR(TYPE(AA46)&gt;1,TYPE(MATCH(AA46,AA47:AA$139,0))&gt;1),0,MATCH(AA46,AA47:AA$139,0))</f>
        <v>0</v>
      </c>
      <c r="AR46" s="334">
        <f t="shared" si="25"/>
        <v>0</v>
      </c>
      <c r="AT46" s="333">
        <f t="shared" si="26"/>
        <v>0</v>
      </c>
      <c r="AU46" s="333">
        <f>IF(AND(N(I46)&gt;0,TYPE(VLOOKUP(I46,Hraci!$A$5:$A$800,1,0))&gt;3),1,0) + IF(AND(N(O46)&gt;0,TYPE(VLOOKUP(O46,Hraci!$A$5:$A$800,1,0))&gt;3),1,0) + IF(AND(N(U46)&gt;0,TYPE(VLOOKUP(U46,Hraci!$A$5:$A$800,1,0))&gt;3),1,0)</f>
        <v>0</v>
      </c>
      <c r="BF46" s="334">
        <f t="shared" si="14"/>
        <v>36</v>
      </c>
    </row>
    <row r="47" spans="1:58" ht="14.25" x14ac:dyDescent="0.3">
      <c r="A47" s="317">
        <f t="shared" si="15"/>
        <v>2</v>
      </c>
      <c r="B47" s="317">
        <f t="shared" si="16"/>
        <v>1</v>
      </c>
      <c r="C47" s="317">
        <f t="shared" si="17"/>
        <v>14.718</v>
      </c>
      <c r="D47" s="317">
        <f t="shared" si="18"/>
        <v>10566</v>
      </c>
      <c r="E47" s="358">
        <f t="shared" si="19"/>
        <v>263</v>
      </c>
      <c r="F47" s="359" t="str">
        <f t="shared" ca="1" si="20"/>
        <v>91014718989433999736712550</v>
      </c>
      <c r="G47" s="398" t="b">
        <f t="shared" si="21"/>
        <v>0</v>
      </c>
      <c r="H47" s="399">
        <f t="shared" si="22"/>
        <v>37</v>
      </c>
      <c r="I47" s="400">
        <v>14049</v>
      </c>
      <c r="J47" s="401" t="s">
        <v>414</v>
      </c>
      <c r="K47" s="402" t="s">
        <v>92</v>
      </c>
      <c r="L47" s="402" t="s">
        <v>1169</v>
      </c>
      <c r="M47" s="403">
        <v>263</v>
      </c>
      <c r="N47" s="404">
        <v>8.2810000000000006</v>
      </c>
      <c r="O47" s="400">
        <v>15069</v>
      </c>
      <c r="P47" s="401" t="s">
        <v>1635</v>
      </c>
      <c r="Q47" s="402" t="s">
        <v>80</v>
      </c>
      <c r="R47" s="402" t="s">
        <v>1169</v>
      </c>
      <c r="S47" s="403">
        <v>304</v>
      </c>
      <c r="T47" s="404">
        <v>6.4370000000000003</v>
      </c>
      <c r="U47" s="400" t="s">
        <v>2005</v>
      </c>
      <c r="V47" s="401" t="s">
        <v>1054</v>
      </c>
      <c r="W47" s="402" t="s">
        <v>1054</v>
      </c>
      <c r="X47" s="402" t="s">
        <v>1054</v>
      </c>
      <c r="Y47" s="403">
        <v>9999</v>
      </c>
      <c r="Z47" s="404">
        <v>0</v>
      </c>
      <c r="AA47" s="400" t="s">
        <v>2005</v>
      </c>
      <c r="AB47" s="401" t="s">
        <v>1054</v>
      </c>
      <c r="AC47" s="402" t="s">
        <v>1054</v>
      </c>
      <c r="AD47" s="402" t="s">
        <v>1054</v>
      </c>
      <c r="AE47" s="403">
        <v>9999</v>
      </c>
      <c r="AF47" s="404">
        <v>0</v>
      </c>
      <c r="AG47" s="409"/>
      <c r="AH47" s="445">
        <v>47</v>
      </c>
      <c r="AI47" s="405">
        <f>IF(N($AH47)&gt;0,VLOOKUP($AH47,Body!$A$4:$F$259,5,0),"")</f>
        <v>19.508994140624999</v>
      </c>
      <c r="AJ47" s="406">
        <f>IF(N($AH47)&gt;0,VLOOKUP($AH47,Body!$A$4:$F$259,6,0),"")</f>
        <v>0</v>
      </c>
      <c r="AK47" s="405">
        <f>IF(N($AH47)&gt;0,VLOOKUP($AH47,Body!$A$4:$F$259,2,0),"")</f>
        <v>0.53125</v>
      </c>
      <c r="AL47" s="407" t="str">
        <f t="shared" si="23"/>
        <v>37 Club Rodamiento - Moos Daniel</v>
      </c>
      <c r="AM47" s="408">
        <f t="shared" si="24"/>
        <v>14.718</v>
      </c>
      <c r="AN47" s="334">
        <f>IF(OR(TYPE(I47)&gt;1,TYPE(MATCH(I47,I48:I$139,0))&gt;1),0,MATCH(I47,I48:I$139,0))+IF(OR(TYPE(I47)&gt;1,TYPE(MATCH(I47,O$11:O$139,0))&gt;1),0,MATCH(I47,O$11:O$139,0))+IF(OR(TYPE(I47)&gt;1,TYPE(MATCH(I47,U$11:U$139,0))&gt;1),0,MATCH(I47,U$11:U$139,0))+IF(OR(TYPE(I47)&gt;1,TYPE(MATCH(I47,AA$11:AA$139,0))&gt;1),0,MATCH(I47,AA$11:AA$139,0))</f>
        <v>0</v>
      </c>
      <c r="AO47" s="334">
        <f>IF(OR(TYPE(O47)&gt;1,TYPE(MATCH(O47,I$11:I$139,0))&gt;1),0,MATCH(O47,I$11:I$139,0))+IF(OR(TYPE(O47)&gt;1,TYPE(MATCH(O47,O48:O$139,0))&gt;1),0,MATCH(O47,O48:O$139,0))+IF(OR(TYPE(O47)&gt;1,TYPE(MATCH(O47,U$11:U$139,0))&gt;1),0,MATCH(O47,U$11:U$139,0))+IF(OR(TYPE(O47)&gt;1,TYPE(MATCH(O47,AA$11:AA$139,0))&gt;1),0,MATCH(O47,AA$11:AA$139,0))</f>
        <v>0</v>
      </c>
      <c r="AP47" s="334">
        <f>IF(OR(TYPE(U47)&gt;1,TYPE(MATCH(U47,I$11:I$139,0))&gt;1),0,MATCH(U47,I$11:I$139,0))+IF(OR(TYPE(U47)&gt;1,TYPE(MATCH(U47,O$11:O$139,0))&gt;1),0,MATCH(U47,O$11:O$139,0))+IF(OR(TYPE(U47)&gt;1,TYPE(MATCH(U47,U48:U$139,0))&gt;1),0,MATCH(U47,U48:U$139,0))+IF(OR(TYPE(U47)&gt;1,TYPE(MATCH(U47,AA$11:AA$139,0))&gt;1),0,MATCH(U47,AA$11:AA$139,0))</f>
        <v>0</v>
      </c>
      <c r="AQ47" s="334">
        <f>IF(OR(TYPE(AA47)&gt;1,TYPE(MATCH(AA47,I$11:I$139,0))&gt;1),0,MATCH(AA47,I$11:I$139,0))+IF(OR(TYPE(AA47)&gt;1,TYPE(MATCH(AA47,O$11:O$139,0))&gt;1),0,MATCH(AA47,O$11:O$139,0))+IF(OR(TYPE(AA47)&gt;1,TYPE(MATCH(AA47,U$11:U$139,0))&gt;1),0,MATCH(U47,U$11:U$139,0))+IF(OR(TYPE(AA47)&gt;1,TYPE(MATCH(AA47,AA48:AA$139,0))&gt;1),0,MATCH(AA47,AA48:AA$139,0))</f>
        <v>0</v>
      </c>
      <c r="AR47" s="334">
        <f t="shared" si="25"/>
        <v>0</v>
      </c>
      <c r="AT47" s="333">
        <f t="shared" si="26"/>
        <v>0</v>
      </c>
      <c r="AU47" s="333">
        <f>IF(AND(N(I47)&gt;0,TYPE(VLOOKUP(I47,Hraci!$A$5:$A$800,1,0))&gt;3),1,0) + IF(AND(N(O47)&gt;0,TYPE(VLOOKUP(O47,Hraci!$A$5:$A$800,1,0))&gt;3),1,0) + IF(AND(N(U47)&gt;0,TYPE(VLOOKUP(U47,Hraci!$A$5:$A$800,1,0))&gt;3),1,0)</f>
        <v>0</v>
      </c>
      <c r="BF47" s="334">
        <f t="shared" si="14"/>
        <v>37</v>
      </c>
    </row>
    <row r="48" spans="1:58" ht="14.25" x14ac:dyDescent="0.3">
      <c r="A48" s="358">
        <f t="shared" si="15"/>
        <v>2</v>
      </c>
      <c r="B48" s="358">
        <f t="shared" si="16"/>
        <v>1</v>
      </c>
      <c r="C48" s="358">
        <f t="shared" si="17"/>
        <v>14.180999999999999</v>
      </c>
      <c r="D48" s="358">
        <f t="shared" si="18"/>
        <v>10617</v>
      </c>
      <c r="E48" s="358">
        <f t="shared" si="19"/>
        <v>204</v>
      </c>
      <c r="F48" s="359" t="str">
        <f t="shared" ca="1" si="20"/>
        <v>91014181989382999795970217</v>
      </c>
      <c r="G48" s="398" t="b">
        <f t="shared" si="21"/>
        <v>0</v>
      </c>
      <c r="H48" s="399">
        <f t="shared" si="22"/>
        <v>38</v>
      </c>
      <c r="I48" s="400">
        <v>14055</v>
      </c>
      <c r="J48" s="401" t="s">
        <v>544</v>
      </c>
      <c r="K48" s="402" t="s">
        <v>54</v>
      </c>
      <c r="L48" s="402" t="s">
        <v>168</v>
      </c>
      <c r="M48" s="403">
        <v>204</v>
      </c>
      <c r="N48" s="404">
        <v>12.196</v>
      </c>
      <c r="O48" s="400">
        <v>16117</v>
      </c>
      <c r="P48" s="401" t="s">
        <v>544</v>
      </c>
      <c r="Q48" s="402" t="s">
        <v>105</v>
      </c>
      <c r="R48" s="402" t="s">
        <v>168</v>
      </c>
      <c r="S48" s="403">
        <v>414</v>
      </c>
      <c r="T48" s="404">
        <v>1.9850000000000001</v>
      </c>
      <c r="U48" s="400" t="s">
        <v>2005</v>
      </c>
      <c r="V48" s="401" t="s">
        <v>1054</v>
      </c>
      <c r="W48" s="402" t="s">
        <v>1054</v>
      </c>
      <c r="X48" s="402" t="s">
        <v>1054</v>
      </c>
      <c r="Y48" s="403">
        <v>9999</v>
      </c>
      <c r="Z48" s="404">
        <v>0</v>
      </c>
      <c r="AA48" s="400" t="s">
        <v>2005</v>
      </c>
      <c r="AB48" s="401" t="s">
        <v>1054</v>
      </c>
      <c r="AC48" s="402" t="s">
        <v>1054</v>
      </c>
      <c r="AD48" s="402" t="s">
        <v>1054</v>
      </c>
      <c r="AE48" s="403">
        <v>9999</v>
      </c>
      <c r="AF48" s="404">
        <v>0</v>
      </c>
      <c r="AG48" s="409"/>
      <c r="AH48" s="445">
        <v>38</v>
      </c>
      <c r="AI48" s="405">
        <f>IF(N($AH48)&gt;0,VLOOKUP($AH48,Body!$A$4:$F$259,5,0),"")</f>
        <v>29.837285156249997</v>
      </c>
      <c r="AJ48" s="406">
        <f>IF(N($AH48)&gt;0,VLOOKUP($AH48,Body!$A$4:$F$259,6,0),"")</f>
        <v>0</v>
      </c>
      <c r="AK48" s="405">
        <f>IF(N($AH48)&gt;0,VLOOKUP($AH48,Body!$A$4:$F$259,2,0),"")</f>
        <v>0.8125</v>
      </c>
      <c r="AL48" s="407" t="str">
        <f t="shared" si="23"/>
        <v>38 JAPKO - Stejskal Petr</v>
      </c>
      <c r="AM48" s="408">
        <f t="shared" si="24"/>
        <v>14.180999999999999</v>
      </c>
      <c r="AN48" s="334">
        <f>IF(OR(TYPE(I48)&gt;1,TYPE(MATCH(I48,I49:I$139,0))&gt;1),0,MATCH(I48,I49:I$139,0))+IF(OR(TYPE(I48)&gt;1,TYPE(MATCH(I48,O$11:O$139,0))&gt;1),0,MATCH(I48,O$11:O$139,0))+IF(OR(TYPE(I48)&gt;1,TYPE(MATCH(I48,U$11:U$139,0))&gt;1),0,MATCH(I48,U$11:U$139,0))+IF(OR(TYPE(I48)&gt;1,TYPE(MATCH(I48,AA$11:AA$139,0))&gt;1),0,MATCH(I48,AA$11:AA$139,0))</f>
        <v>0</v>
      </c>
      <c r="AO48" s="334">
        <f>IF(OR(TYPE(O48)&gt;1,TYPE(MATCH(O48,I$11:I$139,0))&gt;1),0,MATCH(O48,I$11:I$139,0))+IF(OR(TYPE(O48)&gt;1,TYPE(MATCH(O48,O49:O$139,0))&gt;1),0,MATCH(O48,O49:O$139,0))+IF(OR(TYPE(O48)&gt;1,TYPE(MATCH(O48,U$11:U$139,0))&gt;1),0,MATCH(O48,U$11:U$139,0))+IF(OR(TYPE(O48)&gt;1,TYPE(MATCH(O48,AA$11:AA$139,0))&gt;1),0,MATCH(O48,AA$11:AA$139,0))</f>
        <v>0</v>
      </c>
      <c r="AP48" s="334">
        <f>IF(OR(TYPE(U48)&gt;1,TYPE(MATCH(U48,I$11:I$139,0))&gt;1),0,MATCH(U48,I$11:I$139,0))+IF(OR(TYPE(U48)&gt;1,TYPE(MATCH(U48,O$11:O$139,0))&gt;1),0,MATCH(U48,O$11:O$139,0))+IF(OR(TYPE(U48)&gt;1,TYPE(MATCH(U48,U49:U$139,0))&gt;1),0,MATCH(U48,U49:U$139,0))+IF(OR(TYPE(U48)&gt;1,TYPE(MATCH(U48,AA$11:AA$139,0))&gt;1),0,MATCH(U48,AA$11:AA$139,0))</f>
        <v>0</v>
      </c>
      <c r="AQ48" s="334">
        <f>IF(OR(TYPE(AA48)&gt;1,TYPE(MATCH(AA48,I$11:I$139,0))&gt;1),0,MATCH(AA48,I$11:I$139,0))+IF(OR(TYPE(AA48)&gt;1,TYPE(MATCH(AA48,O$11:O$139,0))&gt;1),0,MATCH(AA48,O$11:O$139,0))+IF(OR(TYPE(AA48)&gt;1,TYPE(MATCH(AA48,U$11:U$139,0))&gt;1),0,MATCH(U48,U$11:U$139,0))+IF(OR(TYPE(AA48)&gt;1,TYPE(MATCH(AA48,AA49:AA$139,0))&gt;1),0,MATCH(AA48,AA49:AA$139,0))</f>
        <v>0</v>
      </c>
      <c r="AR48" s="334">
        <f t="shared" si="25"/>
        <v>0</v>
      </c>
      <c r="AT48" s="333">
        <f t="shared" si="26"/>
        <v>0</v>
      </c>
      <c r="AU48" s="333">
        <f>IF(AND(N(I48)&gt;0,TYPE(VLOOKUP(I48,Hraci!$A$5:$A$800,1,0))&gt;3),1,0) + IF(AND(N(O48)&gt;0,TYPE(VLOOKUP(O48,Hraci!$A$5:$A$800,1,0))&gt;3),1,0) + IF(AND(N(U48)&gt;0,TYPE(VLOOKUP(U48,Hraci!$A$5:$A$800,1,0))&gt;3),1,0)</f>
        <v>0</v>
      </c>
      <c r="BF48" s="334">
        <f t="shared" si="14"/>
        <v>38</v>
      </c>
    </row>
    <row r="49" spans="1:58" ht="14.25" x14ac:dyDescent="0.3">
      <c r="A49" s="358">
        <f t="shared" si="15"/>
        <v>2</v>
      </c>
      <c r="B49" s="358">
        <f t="shared" si="16"/>
        <v>1</v>
      </c>
      <c r="C49" s="358">
        <f t="shared" si="17"/>
        <v>14.156000000000001</v>
      </c>
      <c r="D49" s="358">
        <f t="shared" si="18"/>
        <v>10866</v>
      </c>
      <c r="E49" s="358">
        <f t="shared" si="19"/>
        <v>416</v>
      </c>
      <c r="F49" s="359" t="str">
        <f t="shared" ca="1" si="20"/>
        <v>91014156989133999583668974</v>
      </c>
      <c r="G49" s="398" t="b">
        <f t="shared" si="21"/>
        <v>0</v>
      </c>
      <c r="H49" s="399">
        <f t="shared" si="22"/>
        <v>39</v>
      </c>
      <c r="I49" s="400">
        <v>96162</v>
      </c>
      <c r="J49" s="401" t="s">
        <v>180</v>
      </c>
      <c r="K49" s="402" t="s">
        <v>78</v>
      </c>
      <c r="L49" s="402" t="s">
        <v>1181</v>
      </c>
      <c r="M49" s="403">
        <v>416</v>
      </c>
      <c r="N49" s="404">
        <v>7.8280000000000003</v>
      </c>
      <c r="O49" s="400">
        <v>96163</v>
      </c>
      <c r="P49" s="401" t="s">
        <v>181</v>
      </c>
      <c r="Q49" s="402" t="s">
        <v>182</v>
      </c>
      <c r="R49" s="402" t="s">
        <v>1181</v>
      </c>
      <c r="S49" s="403">
        <v>451</v>
      </c>
      <c r="T49" s="404">
        <v>6.3280000000000003</v>
      </c>
      <c r="U49" s="400" t="s">
        <v>2005</v>
      </c>
      <c r="V49" s="401" t="s">
        <v>1054</v>
      </c>
      <c r="W49" s="402" t="s">
        <v>1054</v>
      </c>
      <c r="X49" s="402" t="s">
        <v>1054</v>
      </c>
      <c r="Y49" s="403">
        <v>9999</v>
      </c>
      <c r="Z49" s="404">
        <v>0</v>
      </c>
      <c r="AA49" s="400" t="s">
        <v>2005</v>
      </c>
      <c r="AB49" s="401" t="s">
        <v>1054</v>
      </c>
      <c r="AC49" s="402" t="s">
        <v>1054</v>
      </c>
      <c r="AD49" s="402" t="s">
        <v>1054</v>
      </c>
      <c r="AE49" s="403">
        <v>9999</v>
      </c>
      <c r="AF49" s="404">
        <v>0</v>
      </c>
      <c r="AG49" s="409"/>
      <c r="AH49" s="445">
        <v>44</v>
      </c>
      <c r="AI49" s="405">
        <f>IF(N($AH49)&gt;0,VLOOKUP($AH49,Body!$A$4:$F$259,5,0),"")</f>
        <v>22.951757812499999</v>
      </c>
      <c r="AJ49" s="406">
        <f>IF(N($AH49)&gt;0,VLOOKUP($AH49,Body!$A$4:$F$259,6,0),"")</f>
        <v>0</v>
      </c>
      <c r="AK49" s="405">
        <f>IF(N($AH49)&gt;0,VLOOKUP($AH49,Body!$A$4:$F$259,2,0),"")</f>
        <v>0.625</v>
      </c>
      <c r="AL49" s="407" t="str">
        <f t="shared" si="23"/>
        <v>39 C.T.P. Club Ořech - Glaser Vladimír</v>
      </c>
      <c r="AM49" s="408">
        <f t="shared" si="24"/>
        <v>14.156000000000001</v>
      </c>
      <c r="AN49" s="334">
        <f>IF(OR(TYPE(I49)&gt;1,TYPE(MATCH(I49,I50:I$139,0))&gt;1),0,MATCH(I49,I50:I$139,0))+IF(OR(TYPE(I49)&gt;1,TYPE(MATCH(I49,O$11:O$139,0))&gt;1),0,MATCH(I49,O$11:O$139,0))+IF(OR(TYPE(I49)&gt;1,TYPE(MATCH(I49,U$11:U$139,0))&gt;1),0,MATCH(I49,U$11:U$139,0))+IF(OR(TYPE(I49)&gt;1,TYPE(MATCH(I49,AA$11:AA$139,0))&gt;1),0,MATCH(I49,AA$11:AA$139,0))</f>
        <v>0</v>
      </c>
      <c r="AO49" s="334">
        <f>IF(OR(TYPE(O49)&gt;1,TYPE(MATCH(O49,I$11:I$139,0))&gt;1),0,MATCH(O49,I$11:I$139,0))+IF(OR(TYPE(O49)&gt;1,TYPE(MATCH(O49,O50:O$139,0))&gt;1),0,MATCH(O49,O50:O$139,0))+IF(OR(TYPE(O49)&gt;1,TYPE(MATCH(O49,U$11:U$139,0))&gt;1),0,MATCH(O49,U$11:U$139,0))+IF(OR(TYPE(O49)&gt;1,TYPE(MATCH(O49,AA$11:AA$139,0))&gt;1),0,MATCH(O49,AA$11:AA$139,0))</f>
        <v>0</v>
      </c>
      <c r="AP49" s="334">
        <f>IF(OR(TYPE(U49)&gt;1,TYPE(MATCH(U49,I$11:I$139,0))&gt;1),0,MATCH(U49,I$11:I$139,0))+IF(OR(TYPE(U49)&gt;1,TYPE(MATCH(U49,O$11:O$139,0))&gt;1),0,MATCH(U49,O$11:O$139,0))+IF(OR(TYPE(U49)&gt;1,TYPE(MATCH(U49,U50:U$139,0))&gt;1),0,MATCH(U49,U50:U$139,0))+IF(OR(TYPE(U49)&gt;1,TYPE(MATCH(U49,AA$11:AA$139,0))&gt;1),0,MATCH(U49,AA$11:AA$139,0))</f>
        <v>0</v>
      </c>
      <c r="AQ49" s="334">
        <f>IF(OR(TYPE(AA49)&gt;1,TYPE(MATCH(AA49,I$11:I$139,0))&gt;1),0,MATCH(AA49,I$11:I$139,0))+IF(OR(TYPE(AA49)&gt;1,TYPE(MATCH(AA49,O$11:O$139,0))&gt;1),0,MATCH(AA49,O$11:O$139,0))+IF(OR(TYPE(AA49)&gt;1,TYPE(MATCH(AA49,U$11:U$139,0))&gt;1),0,MATCH(U49,U$11:U$139,0))+IF(OR(TYPE(AA49)&gt;1,TYPE(MATCH(AA49,AA50:AA$139,0))&gt;1),0,MATCH(AA49,AA50:AA$139,0))</f>
        <v>0</v>
      </c>
      <c r="AR49" s="334">
        <f t="shared" si="25"/>
        <v>0</v>
      </c>
      <c r="AT49" s="333">
        <f t="shared" si="26"/>
        <v>0</v>
      </c>
      <c r="AU49" s="333">
        <f>IF(AND(N(I49)&gt;0,TYPE(VLOOKUP(I49,Hraci!$A$5:$A$800,1,0))&gt;3),1,0) + IF(AND(N(O49)&gt;0,TYPE(VLOOKUP(O49,Hraci!$A$5:$A$800,1,0))&gt;3),1,0) + IF(AND(N(U49)&gt;0,TYPE(VLOOKUP(U49,Hraci!$A$5:$A$800,1,0))&gt;3),1,0)</f>
        <v>0</v>
      </c>
      <c r="BF49" s="334">
        <f t="shared" si="14"/>
        <v>39</v>
      </c>
    </row>
    <row r="50" spans="1:58" ht="14.25" x14ac:dyDescent="0.3">
      <c r="A50" s="358">
        <f t="shared" si="15"/>
        <v>2</v>
      </c>
      <c r="B50" s="358">
        <f t="shared" si="16"/>
        <v>1</v>
      </c>
      <c r="C50" s="358">
        <f t="shared" si="17"/>
        <v>14.08</v>
      </c>
      <c r="D50" s="358">
        <f t="shared" si="18"/>
        <v>10711</v>
      </c>
      <c r="E50" s="358">
        <f t="shared" si="19"/>
        <v>334</v>
      </c>
      <c r="F50" s="359" t="str">
        <f t="shared" ca="1" si="20"/>
        <v>91014080989288999665842305</v>
      </c>
      <c r="G50" s="398" t="b">
        <f t="shared" si="21"/>
        <v>0</v>
      </c>
      <c r="H50" s="399">
        <f t="shared" si="22"/>
        <v>40</v>
      </c>
      <c r="I50" s="400">
        <v>15031</v>
      </c>
      <c r="J50" s="401" t="s">
        <v>1489</v>
      </c>
      <c r="K50" s="402" t="s">
        <v>265</v>
      </c>
      <c r="L50" s="402" t="s">
        <v>58</v>
      </c>
      <c r="M50" s="403">
        <v>334</v>
      </c>
      <c r="N50" s="404">
        <v>8.2119999999999997</v>
      </c>
      <c r="O50" s="400">
        <v>15032</v>
      </c>
      <c r="P50" s="401" t="s">
        <v>1488</v>
      </c>
      <c r="Q50" s="402" t="s">
        <v>223</v>
      </c>
      <c r="R50" s="402" t="s">
        <v>58</v>
      </c>
      <c r="S50" s="403">
        <v>378</v>
      </c>
      <c r="T50" s="404">
        <v>5.8680000000000003</v>
      </c>
      <c r="U50" s="400" t="s">
        <v>2005</v>
      </c>
      <c r="V50" s="401" t="s">
        <v>1054</v>
      </c>
      <c r="W50" s="402" t="s">
        <v>1054</v>
      </c>
      <c r="X50" s="402" t="s">
        <v>1054</v>
      </c>
      <c r="Y50" s="403">
        <v>9999</v>
      </c>
      <c r="Z50" s="404">
        <v>0</v>
      </c>
      <c r="AA50" s="400" t="s">
        <v>2005</v>
      </c>
      <c r="AB50" s="401" t="s">
        <v>1054</v>
      </c>
      <c r="AC50" s="402" t="s">
        <v>1054</v>
      </c>
      <c r="AD50" s="402" t="s">
        <v>1054</v>
      </c>
      <c r="AE50" s="403">
        <v>9999</v>
      </c>
      <c r="AF50" s="404">
        <v>0</v>
      </c>
      <c r="AG50" s="409"/>
      <c r="AH50" s="445">
        <v>40</v>
      </c>
      <c r="AI50" s="405">
        <f>IF(N($AH50)&gt;0,VLOOKUP($AH50,Body!$A$4:$F$259,5,0),"")</f>
        <v>27.542109374999995</v>
      </c>
      <c r="AJ50" s="406">
        <f>IF(N($AH50)&gt;0,VLOOKUP($AH50,Body!$A$4:$F$259,6,0),"")</f>
        <v>0</v>
      </c>
      <c r="AK50" s="405">
        <f>IF(N($AH50)&gt;0,VLOOKUP($AH50,Body!$A$4:$F$259,2,0),"")</f>
        <v>0.75</v>
      </c>
      <c r="AL50" s="407" t="str">
        <f t="shared" si="23"/>
        <v>40 SKP Kulová osma - Fárová Helena</v>
      </c>
      <c r="AM50" s="408">
        <f t="shared" si="24"/>
        <v>14.08</v>
      </c>
      <c r="AN50" s="334">
        <f>IF(OR(TYPE(I50)&gt;1,TYPE(MATCH(I50,I51:I$139,0))&gt;1),0,MATCH(I50,I51:I$139,0))+IF(OR(TYPE(I50)&gt;1,TYPE(MATCH(I50,O$11:O$139,0))&gt;1),0,MATCH(I50,O$11:O$139,0))+IF(OR(TYPE(I50)&gt;1,TYPE(MATCH(I50,U$11:U$139,0))&gt;1),0,MATCH(I50,U$11:U$139,0))+IF(OR(TYPE(I50)&gt;1,TYPE(MATCH(I50,AA$11:AA$139,0))&gt;1),0,MATCH(I50,AA$11:AA$139,0))</f>
        <v>0</v>
      </c>
      <c r="AO50" s="334">
        <f>IF(OR(TYPE(O50)&gt;1,TYPE(MATCH(O50,I$11:I$139,0))&gt;1),0,MATCH(O50,I$11:I$139,0))+IF(OR(TYPE(O50)&gt;1,TYPE(MATCH(O50,O51:O$139,0))&gt;1),0,MATCH(O50,O51:O$139,0))+IF(OR(TYPE(O50)&gt;1,TYPE(MATCH(O50,U$11:U$139,0))&gt;1),0,MATCH(O50,U$11:U$139,0))+IF(OR(TYPE(O50)&gt;1,TYPE(MATCH(O50,AA$11:AA$139,0))&gt;1),0,MATCH(O50,AA$11:AA$139,0))</f>
        <v>0</v>
      </c>
      <c r="AP50" s="334">
        <f>IF(OR(TYPE(U50)&gt;1,TYPE(MATCH(U50,I$11:I$139,0))&gt;1),0,MATCH(U50,I$11:I$139,0))+IF(OR(TYPE(U50)&gt;1,TYPE(MATCH(U50,O$11:O$139,0))&gt;1),0,MATCH(U50,O$11:O$139,0))+IF(OR(TYPE(U50)&gt;1,TYPE(MATCH(U50,U51:U$139,0))&gt;1),0,MATCH(U50,U51:U$139,0))+IF(OR(TYPE(U50)&gt;1,TYPE(MATCH(U50,AA$11:AA$139,0))&gt;1),0,MATCH(U50,AA$11:AA$139,0))</f>
        <v>0</v>
      </c>
      <c r="AQ50" s="334">
        <f>IF(OR(TYPE(AA50)&gt;1,TYPE(MATCH(AA50,I$11:I$139,0))&gt;1),0,MATCH(AA50,I$11:I$139,0))+IF(OR(TYPE(AA50)&gt;1,TYPE(MATCH(AA50,O$11:O$139,0))&gt;1),0,MATCH(AA50,O$11:O$139,0))+IF(OR(TYPE(AA50)&gt;1,TYPE(MATCH(AA50,U$11:U$139,0))&gt;1),0,MATCH(U50,U$11:U$139,0))+IF(OR(TYPE(AA50)&gt;1,TYPE(MATCH(AA50,AA51:AA$139,0))&gt;1),0,MATCH(AA50,AA51:AA$139,0))</f>
        <v>0</v>
      </c>
      <c r="AR50" s="334">
        <f t="shared" si="25"/>
        <v>0</v>
      </c>
      <c r="AT50" s="333">
        <f t="shared" si="26"/>
        <v>0</v>
      </c>
      <c r="AU50" s="333">
        <f>IF(AND(N(I50)&gt;0,TYPE(VLOOKUP(I50,Hraci!$A$5:$A$800,1,0))&gt;3),1,0) + IF(AND(N(O50)&gt;0,TYPE(VLOOKUP(O50,Hraci!$A$5:$A$800,1,0))&gt;3),1,0) + IF(AND(N(U50)&gt;0,TYPE(VLOOKUP(U50,Hraci!$A$5:$A$800,1,0))&gt;3),1,0)</f>
        <v>0</v>
      </c>
      <c r="BF50" s="334">
        <f t="shared" si="14"/>
        <v>40</v>
      </c>
    </row>
    <row r="51" spans="1:58" ht="14.25" x14ac:dyDescent="0.3">
      <c r="A51" s="358">
        <f t="shared" si="15"/>
        <v>2</v>
      </c>
      <c r="B51" s="358">
        <f t="shared" si="16"/>
        <v>1</v>
      </c>
      <c r="C51" s="358">
        <f t="shared" si="17"/>
        <v>12.439</v>
      </c>
      <c r="D51" s="358">
        <f t="shared" si="18"/>
        <v>20266</v>
      </c>
      <c r="E51" s="358">
        <f t="shared" si="19"/>
        <v>268</v>
      </c>
      <c r="F51" s="359" t="str">
        <f t="shared" ca="1" si="20"/>
        <v>91012439979733999731530110</v>
      </c>
      <c r="G51" s="398" t="b">
        <f t="shared" si="21"/>
        <v>0</v>
      </c>
      <c r="H51" s="399">
        <f t="shared" si="22"/>
        <v>41</v>
      </c>
      <c r="I51" s="400">
        <v>13083</v>
      </c>
      <c r="J51" s="401" t="s">
        <v>1533</v>
      </c>
      <c r="K51" s="402" t="s">
        <v>46</v>
      </c>
      <c r="L51" s="402" t="s">
        <v>1142</v>
      </c>
      <c r="M51" s="403">
        <v>268</v>
      </c>
      <c r="N51" s="404">
        <v>12.439</v>
      </c>
      <c r="O51" s="400" t="s">
        <v>2005</v>
      </c>
      <c r="P51" s="401" t="s">
        <v>1955</v>
      </c>
      <c r="Q51" s="402" t="s">
        <v>1054</v>
      </c>
      <c r="R51" s="402" t="s">
        <v>1054</v>
      </c>
      <c r="S51" s="403">
        <v>9999</v>
      </c>
      <c r="T51" s="404">
        <v>0</v>
      </c>
      <c r="U51" s="400" t="s">
        <v>2005</v>
      </c>
      <c r="V51" s="401" t="s">
        <v>1054</v>
      </c>
      <c r="W51" s="402" t="s">
        <v>1054</v>
      </c>
      <c r="X51" s="402" t="s">
        <v>1054</v>
      </c>
      <c r="Y51" s="403">
        <v>9999</v>
      </c>
      <c r="Z51" s="404">
        <v>0</v>
      </c>
      <c r="AA51" s="400" t="s">
        <v>2005</v>
      </c>
      <c r="AB51" s="401" t="s">
        <v>1054</v>
      </c>
      <c r="AC51" s="402" t="s">
        <v>1054</v>
      </c>
      <c r="AD51" s="402" t="s">
        <v>1054</v>
      </c>
      <c r="AE51" s="403">
        <v>9999</v>
      </c>
      <c r="AF51" s="404">
        <v>0</v>
      </c>
      <c r="AG51" s="409"/>
      <c r="AH51" s="445">
        <v>30</v>
      </c>
      <c r="AI51" s="405">
        <f>IF(N($AH51)&gt;0,VLOOKUP($AH51,Body!$A$4:$F$259,5,0),"")</f>
        <v>41.313164062499993</v>
      </c>
      <c r="AJ51" s="406">
        <f>IF(N($AH51)&gt;0,VLOOKUP($AH51,Body!$A$4:$F$259,6,0),"")</f>
        <v>0</v>
      </c>
      <c r="AK51" s="405">
        <f>IF(N($AH51)&gt;0,VLOOKUP($AH51,Body!$A$4:$F$259,2,0),"")</f>
        <v>1.125</v>
      </c>
      <c r="AL51" s="407" t="str">
        <f t="shared" si="23"/>
        <v>41 CdP Loděnice - Janoš Jiří</v>
      </c>
      <c r="AM51" s="408">
        <f t="shared" si="24"/>
        <v>12.439</v>
      </c>
      <c r="AN51" s="334">
        <f>IF(OR(TYPE(I51)&gt;1,TYPE(MATCH(I51,I52:I$139,0))&gt;1),0,MATCH(I51,I52:I$139,0))+IF(OR(TYPE(I51)&gt;1,TYPE(MATCH(I51,O$11:O$139,0))&gt;1),0,MATCH(I51,O$11:O$139,0))+IF(OR(TYPE(I51)&gt;1,TYPE(MATCH(I51,U$11:U$139,0))&gt;1),0,MATCH(I51,U$11:U$139,0))+IF(OR(TYPE(I51)&gt;1,TYPE(MATCH(I51,AA$11:AA$139,0))&gt;1),0,MATCH(I51,AA$11:AA$139,0))</f>
        <v>0</v>
      </c>
      <c r="AO51" s="334">
        <f>IF(OR(TYPE(O51)&gt;1,TYPE(MATCH(O51,I$11:I$139,0))&gt;1),0,MATCH(O51,I$11:I$139,0))+IF(OR(TYPE(O51)&gt;1,TYPE(MATCH(O51,O52:O$139,0))&gt;1),0,MATCH(O51,O52:O$139,0))+IF(OR(TYPE(O51)&gt;1,TYPE(MATCH(O51,U$11:U$139,0))&gt;1),0,MATCH(O51,U$11:U$139,0))+IF(OR(TYPE(O51)&gt;1,TYPE(MATCH(O51,AA$11:AA$139,0))&gt;1),0,MATCH(O51,AA$11:AA$139,0))</f>
        <v>0</v>
      </c>
      <c r="AP51" s="334">
        <f>IF(OR(TYPE(U51)&gt;1,TYPE(MATCH(U51,I$11:I$139,0))&gt;1),0,MATCH(U51,I$11:I$139,0))+IF(OR(TYPE(U51)&gt;1,TYPE(MATCH(U51,O$11:O$139,0))&gt;1),0,MATCH(U51,O$11:O$139,0))+IF(OR(TYPE(U51)&gt;1,TYPE(MATCH(U51,U52:U$139,0))&gt;1),0,MATCH(U51,U52:U$139,0))+IF(OR(TYPE(U51)&gt;1,TYPE(MATCH(U51,AA$11:AA$139,0))&gt;1),0,MATCH(U51,AA$11:AA$139,0))</f>
        <v>0</v>
      </c>
      <c r="AQ51" s="334">
        <f>IF(OR(TYPE(AA51)&gt;1,TYPE(MATCH(AA51,I$11:I$139,0))&gt;1),0,MATCH(AA51,I$11:I$139,0))+IF(OR(TYPE(AA51)&gt;1,TYPE(MATCH(AA51,O$11:O$139,0))&gt;1),0,MATCH(AA51,O$11:O$139,0))+IF(OR(TYPE(AA51)&gt;1,TYPE(MATCH(AA51,U$11:U$139,0))&gt;1),0,MATCH(U51,U$11:U$139,0))+IF(OR(TYPE(AA51)&gt;1,TYPE(MATCH(AA51,AA52:AA$139,0))&gt;1),0,MATCH(AA51,AA52:AA$139,0))</f>
        <v>0</v>
      </c>
      <c r="AR51" s="334">
        <f t="shared" si="25"/>
        <v>0</v>
      </c>
      <c r="AT51" s="333">
        <f t="shared" si="26"/>
        <v>0</v>
      </c>
      <c r="AU51" s="333">
        <f>IF(AND(N(I51)&gt;0,TYPE(VLOOKUP(I51,Hraci!$A$5:$A$800,1,0))&gt;3),1,0) + IF(AND(N(O51)&gt;0,TYPE(VLOOKUP(O51,Hraci!$A$5:$A$800,1,0))&gt;3),1,0) + IF(AND(N(U51)&gt;0,TYPE(VLOOKUP(U51,Hraci!$A$5:$A$800,1,0))&gt;3),1,0)</f>
        <v>0</v>
      </c>
      <c r="BF51" s="334">
        <f t="shared" si="14"/>
        <v>41</v>
      </c>
    </row>
    <row r="52" spans="1:58" ht="14.25" x14ac:dyDescent="0.3">
      <c r="A52" s="358">
        <f t="shared" si="15"/>
        <v>2</v>
      </c>
      <c r="B52" s="358">
        <f t="shared" si="16"/>
        <v>1</v>
      </c>
      <c r="C52" s="358">
        <f t="shared" si="17"/>
        <v>12.407</v>
      </c>
      <c r="D52" s="358">
        <f t="shared" si="18"/>
        <v>10852</v>
      </c>
      <c r="E52" s="358">
        <f t="shared" si="19"/>
        <v>397</v>
      </c>
      <c r="F52" s="359" t="str">
        <f t="shared" ca="1" si="20"/>
        <v>91012407989147999602181083</v>
      </c>
      <c r="G52" s="398" t="b">
        <f t="shared" si="21"/>
        <v>0</v>
      </c>
      <c r="H52" s="399">
        <f t="shared" si="22"/>
        <v>42</v>
      </c>
      <c r="I52" s="400">
        <v>16085</v>
      </c>
      <c r="J52" s="401" t="s">
        <v>1615</v>
      </c>
      <c r="K52" s="402" t="s">
        <v>15</v>
      </c>
      <c r="L52" s="402" t="s">
        <v>1441</v>
      </c>
      <c r="M52" s="403">
        <v>456</v>
      </c>
      <c r="N52" s="404">
        <v>5.1020000000000003</v>
      </c>
      <c r="O52" s="400">
        <v>16086</v>
      </c>
      <c r="P52" s="401" t="s">
        <v>1618</v>
      </c>
      <c r="Q52" s="402" t="s">
        <v>33</v>
      </c>
      <c r="R52" s="402" t="s">
        <v>1441</v>
      </c>
      <c r="S52" s="403">
        <v>397</v>
      </c>
      <c r="T52" s="404">
        <v>7.3049999999999997</v>
      </c>
      <c r="U52" s="400" t="s">
        <v>2005</v>
      </c>
      <c r="V52" s="401" t="s">
        <v>1054</v>
      </c>
      <c r="W52" s="402" t="s">
        <v>1054</v>
      </c>
      <c r="X52" s="402" t="s">
        <v>1054</v>
      </c>
      <c r="Y52" s="403">
        <v>9999</v>
      </c>
      <c r="Z52" s="404">
        <v>0</v>
      </c>
      <c r="AA52" s="400" t="s">
        <v>2005</v>
      </c>
      <c r="AB52" s="401" t="s">
        <v>1054</v>
      </c>
      <c r="AC52" s="402" t="s">
        <v>1054</v>
      </c>
      <c r="AD52" s="402" t="s">
        <v>1054</v>
      </c>
      <c r="AE52" s="403">
        <v>9999</v>
      </c>
      <c r="AF52" s="404">
        <v>0</v>
      </c>
      <c r="AG52" s="409"/>
      <c r="AH52" s="445">
        <f ca="1">IF(TYPE(VLOOKUP(H52,Centrum!$A$3:$E$130,5,0))&lt;4,VLOOKUP(H52,Centrum!$A$3:$E$130,5,0),0)</f>
        <v>50</v>
      </c>
      <c r="AI52" s="405">
        <f ca="1">IF(N($AH52)&gt;0,VLOOKUP($AH52,Body!$A$4:$F$259,5,0),"")</f>
        <v>16.06623046875</v>
      </c>
      <c r="AJ52" s="406">
        <f ca="1">IF(N($AH52)&gt;0,VLOOKUP($AH52,Body!$A$4:$F$259,6,0),"")</f>
        <v>0</v>
      </c>
      <c r="AK52" s="405">
        <f ca="1">IF(N($AH52)&gt;0,VLOOKUP($AH52,Body!$A$4:$F$259,2,0),"")</f>
        <v>0.4375</v>
      </c>
      <c r="AL52" s="407" t="str">
        <f t="shared" si="23"/>
        <v>42 SK Španielka Řepy - Procházka Josef</v>
      </c>
      <c r="AM52" s="408">
        <f t="shared" si="24"/>
        <v>12.407</v>
      </c>
      <c r="AN52" s="334">
        <f>IF(OR(TYPE(I52)&gt;1,TYPE(MATCH(I52,I53:I$139,0))&gt;1),0,MATCH(I52,I53:I$139,0))+IF(OR(TYPE(I52)&gt;1,TYPE(MATCH(I52,O$11:O$139,0))&gt;1),0,MATCH(I52,O$11:O$139,0))+IF(OR(TYPE(I52)&gt;1,TYPE(MATCH(I52,U$11:U$139,0))&gt;1),0,MATCH(I52,U$11:U$139,0))+IF(OR(TYPE(I52)&gt;1,TYPE(MATCH(I52,AA$11:AA$139,0))&gt;1),0,MATCH(I52,AA$11:AA$139,0))</f>
        <v>0</v>
      </c>
      <c r="AO52" s="334">
        <f>IF(OR(TYPE(O52)&gt;1,TYPE(MATCH(O52,I$11:I$139,0))&gt;1),0,MATCH(O52,I$11:I$139,0))+IF(OR(TYPE(O52)&gt;1,TYPE(MATCH(O52,O53:O$139,0))&gt;1),0,MATCH(O52,O53:O$139,0))+IF(OR(TYPE(O52)&gt;1,TYPE(MATCH(O52,U$11:U$139,0))&gt;1),0,MATCH(O52,U$11:U$139,0))+IF(OR(TYPE(O52)&gt;1,TYPE(MATCH(O52,AA$11:AA$139,0))&gt;1),0,MATCH(O52,AA$11:AA$139,0))</f>
        <v>0</v>
      </c>
      <c r="AP52" s="334">
        <f>IF(OR(TYPE(U52)&gt;1,TYPE(MATCH(U52,I$11:I$139,0))&gt;1),0,MATCH(U52,I$11:I$139,0))+IF(OR(TYPE(U52)&gt;1,TYPE(MATCH(U52,O$11:O$139,0))&gt;1),0,MATCH(U52,O$11:O$139,0))+IF(OR(TYPE(U52)&gt;1,TYPE(MATCH(U52,U53:U$139,0))&gt;1),0,MATCH(U52,U53:U$139,0))+IF(OR(TYPE(U52)&gt;1,TYPE(MATCH(U52,AA$11:AA$139,0))&gt;1),0,MATCH(U52,AA$11:AA$139,0))</f>
        <v>0</v>
      </c>
      <c r="AQ52" s="334">
        <f>IF(OR(TYPE(AA52)&gt;1,TYPE(MATCH(AA52,I$11:I$139,0))&gt;1),0,MATCH(AA52,I$11:I$139,0))+IF(OR(TYPE(AA52)&gt;1,TYPE(MATCH(AA52,O$11:O$139,0))&gt;1),0,MATCH(AA52,O$11:O$139,0))+IF(OR(TYPE(AA52)&gt;1,TYPE(MATCH(AA52,U$11:U$139,0))&gt;1),0,MATCH(U52,U$11:U$139,0))+IF(OR(TYPE(AA52)&gt;1,TYPE(MATCH(AA52,AA53:AA$139,0))&gt;1),0,MATCH(AA52,AA53:AA$139,0))</f>
        <v>0</v>
      </c>
      <c r="AR52" s="334">
        <f t="shared" si="25"/>
        <v>0</v>
      </c>
      <c r="AT52" s="333">
        <f t="shared" si="26"/>
        <v>0</v>
      </c>
      <c r="AU52" s="333">
        <f>IF(AND(N(I52)&gt;0,TYPE(VLOOKUP(I52,Hraci!$A$5:$A$800,1,0))&gt;3),1,0) + IF(AND(N(O52)&gt;0,TYPE(VLOOKUP(O52,Hraci!$A$5:$A$800,1,0))&gt;3),1,0) + IF(AND(N(U52)&gt;0,TYPE(VLOOKUP(U52,Hraci!$A$5:$A$800,1,0))&gt;3),1,0)</f>
        <v>0</v>
      </c>
      <c r="BF52" s="334">
        <f t="shared" si="14"/>
        <v>42</v>
      </c>
    </row>
    <row r="53" spans="1:58" ht="14.25" x14ac:dyDescent="0.3">
      <c r="A53" s="358">
        <f t="shared" si="15"/>
        <v>2</v>
      </c>
      <c r="B53" s="358">
        <f t="shared" si="16"/>
        <v>1</v>
      </c>
      <c r="C53" s="358">
        <f t="shared" si="17"/>
        <v>9.2739999999999991</v>
      </c>
      <c r="D53" s="358">
        <f t="shared" si="18"/>
        <v>10880</v>
      </c>
      <c r="E53" s="358">
        <f t="shared" si="19"/>
        <v>390</v>
      </c>
      <c r="F53" s="359" t="str">
        <f t="shared" ca="1" si="20"/>
        <v>91009274989119999609224088</v>
      </c>
      <c r="G53" s="398" t="b">
        <f t="shared" si="21"/>
        <v>0</v>
      </c>
      <c r="H53" s="399">
        <f t="shared" si="22"/>
        <v>43</v>
      </c>
      <c r="I53" s="400">
        <v>16077</v>
      </c>
      <c r="J53" s="401" t="s">
        <v>1512</v>
      </c>
      <c r="K53" s="402" t="s">
        <v>16</v>
      </c>
      <c r="L53" s="402" t="s">
        <v>1441</v>
      </c>
      <c r="M53" s="403">
        <v>390</v>
      </c>
      <c r="N53" s="404">
        <v>6.3049999999999997</v>
      </c>
      <c r="O53" s="400">
        <v>16075</v>
      </c>
      <c r="P53" s="401" t="s">
        <v>1507</v>
      </c>
      <c r="Q53" s="402" t="s">
        <v>67</v>
      </c>
      <c r="R53" s="402" t="s">
        <v>1441</v>
      </c>
      <c r="S53" s="403">
        <v>491</v>
      </c>
      <c r="T53" s="404">
        <v>2.9689999999999999</v>
      </c>
      <c r="U53" s="400" t="s">
        <v>2005</v>
      </c>
      <c r="V53" s="401" t="s">
        <v>1054</v>
      </c>
      <c r="W53" s="402" t="s">
        <v>1054</v>
      </c>
      <c r="X53" s="402" t="s">
        <v>1054</v>
      </c>
      <c r="Y53" s="403">
        <v>9999</v>
      </c>
      <c r="Z53" s="404">
        <v>0</v>
      </c>
      <c r="AA53" s="400" t="s">
        <v>2005</v>
      </c>
      <c r="AB53" s="401" t="s">
        <v>1054</v>
      </c>
      <c r="AC53" s="402" t="s">
        <v>1054</v>
      </c>
      <c r="AD53" s="402" t="s">
        <v>1054</v>
      </c>
      <c r="AE53" s="403">
        <v>9999</v>
      </c>
      <c r="AF53" s="404">
        <v>0</v>
      </c>
      <c r="AG53" s="409"/>
      <c r="AH53" s="445">
        <f ca="1">IF(TYPE(VLOOKUP(H53,Centrum!$A$3:$E$130,5,0))&lt;4,VLOOKUP(H53,Centrum!$A$3:$E$130,5,0),0)</f>
        <v>15</v>
      </c>
      <c r="AI53" s="405">
        <f ca="1">IF(N($AH53)&gt;0,VLOOKUP($AH53,Body!$A$4:$F$259,5,0),"")</f>
        <v>78.035976562499997</v>
      </c>
      <c r="AJ53" s="406">
        <f ca="1">IF(N($AH53)&gt;0,VLOOKUP($AH53,Body!$A$4:$F$259,6,0),"")</f>
        <v>0</v>
      </c>
      <c r="AK53" s="405">
        <f ca="1">IF(N($AH53)&gt;0,VLOOKUP($AH53,Body!$A$4:$F$259,2,0),"")</f>
        <v>2.125</v>
      </c>
      <c r="AL53" s="407" t="str">
        <f t="shared" si="23"/>
        <v>43 SK Španielka Řepy - Holoubek Pavel</v>
      </c>
      <c r="AM53" s="408">
        <f t="shared" si="24"/>
        <v>9.2739999999999991</v>
      </c>
      <c r="AN53" s="334">
        <f>IF(OR(TYPE(I53)&gt;1,TYPE(MATCH(I53,I54:I$139,0))&gt;1),0,MATCH(I53,I54:I$139,0))+IF(OR(TYPE(I53)&gt;1,TYPE(MATCH(I53,O$11:O$139,0))&gt;1),0,MATCH(I53,O$11:O$139,0))+IF(OR(TYPE(I53)&gt;1,TYPE(MATCH(I53,U$11:U$139,0))&gt;1),0,MATCH(I53,U$11:U$139,0))+IF(OR(TYPE(I53)&gt;1,TYPE(MATCH(I53,AA$11:AA$139,0))&gt;1),0,MATCH(I53,AA$11:AA$139,0))</f>
        <v>0</v>
      </c>
      <c r="AO53" s="334">
        <f>IF(OR(TYPE(O53)&gt;1,TYPE(MATCH(O53,I$11:I$139,0))&gt;1),0,MATCH(O53,I$11:I$139,0))+IF(OR(TYPE(O53)&gt;1,TYPE(MATCH(O53,O54:O$139,0))&gt;1),0,MATCH(O53,O54:O$139,0))+IF(OR(TYPE(O53)&gt;1,TYPE(MATCH(O53,U$11:U$139,0))&gt;1),0,MATCH(O53,U$11:U$139,0))+IF(OR(TYPE(O53)&gt;1,TYPE(MATCH(O53,AA$11:AA$139,0))&gt;1),0,MATCH(O53,AA$11:AA$139,0))</f>
        <v>0</v>
      </c>
      <c r="AP53" s="334">
        <f>IF(OR(TYPE(U53)&gt;1,TYPE(MATCH(U53,I$11:I$139,0))&gt;1),0,MATCH(U53,I$11:I$139,0))+IF(OR(TYPE(U53)&gt;1,TYPE(MATCH(U53,O$11:O$139,0))&gt;1),0,MATCH(U53,O$11:O$139,0))+IF(OR(TYPE(U53)&gt;1,TYPE(MATCH(U53,U54:U$139,0))&gt;1),0,MATCH(U53,U54:U$139,0))+IF(OR(TYPE(U53)&gt;1,TYPE(MATCH(U53,AA$11:AA$139,0))&gt;1),0,MATCH(U53,AA$11:AA$139,0))</f>
        <v>0</v>
      </c>
      <c r="AQ53" s="334">
        <f>IF(OR(TYPE(AA53)&gt;1,TYPE(MATCH(AA53,I$11:I$139,0))&gt;1),0,MATCH(AA53,I$11:I$139,0))+IF(OR(TYPE(AA53)&gt;1,TYPE(MATCH(AA53,O$11:O$139,0))&gt;1),0,MATCH(AA53,O$11:O$139,0))+IF(OR(TYPE(AA53)&gt;1,TYPE(MATCH(AA53,U$11:U$139,0))&gt;1),0,MATCH(U53,U$11:U$139,0))+IF(OR(TYPE(AA53)&gt;1,TYPE(MATCH(AA53,AA54:AA$139,0))&gt;1),0,MATCH(AA53,AA54:AA$139,0))</f>
        <v>0</v>
      </c>
      <c r="AR53" s="334">
        <f t="shared" si="25"/>
        <v>0</v>
      </c>
      <c r="AT53" s="333">
        <f t="shared" si="26"/>
        <v>0</v>
      </c>
      <c r="AU53" s="333">
        <f>IF(AND(N(I53)&gt;0,TYPE(VLOOKUP(I53,Hraci!$A$5:$A$800,1,0))&gt;3),1,0) + IF(AND(N(O53)&gt;0,TYPE(VLOOKUP(O53,Hraci!$A$5:$A$800,1,0))&gt;3),1,0) + IF(AND(N(U53)&gt;0,TYPE(VLOOKUP(U53,Hraci!$A$5:$A$800,1,0))&gt;3),1,0)</f>
        <v>0</v>
      </c>
      <c r="BF53" s="334">
        <f t="shared" si="14"/>
        <v>43</v>
      </c>
    </row>
    <row r="54" spans="1:58" ht="14.25" x14ac:dyDescent="0.3">
      <c r="A54" s="358">
        <f t="shared" si="15"/>
        <v>2</v>
      </c>
      <c r="B54" s="358">
        <f t="shared" si="16"/>
        <v>1</v>
      </c>
      <c r="C54" s="358">
        <f t="shared" si="17"/>
        <v>8.4380000000000006</v>
      </c>
      <c r="D54" s="403">
        <f t="shared" si="18"/>
        <v>10945</v>
      </c>
      <c r="E54" s="358">
        <f t="shared" si="19"/>
        <v>443</v>
      </c>
      <c r="F54" s="359" t="str">
        <f t="shared" ca="1" si="20"/>
        <v>91008438989054999556168581</v>
      </c>
      <c r="G54" s="398" t="b">
        <f t="shared" si="21"/>
        <v>0</v>
      </c>
      <c r="H54" s="399">
        <f t="shared" si="22"/>
        <v>44</v>
      </c>
      <c r="I54" s="400">
        <v>14005</v>
      </c>
      <c r="J54" s="401" t="s">
        <v>1654</v>
      </c>
      <c r="K54" s="402" t="s">
        <v>24</v>
      </c>
      <c r="L54" s="402" t="s">
        <v>168</v>
      </c>
      <c r="M54" s="403">
        <v>503</v>
      </c>
      <c r="N54" s="404">
        <v>2.9689999999999999</v>
      </c>
      <c r="O54" s="400">
        <v>11047</v>
      </c>
      <c r="P54" s="401" t="s">
        <v>362</v>
      </c>
      <c r="Q54" s="402" t="s">
        <v>34</v>
      </c>
      <c r="R54" s="402" t="s">
        <v>168</v>
      </c>
      <c r="S54" s="403">
        <v>443</v>
      </c>
      <c r="T54" s="404">
        <v>5.4690000000000003</v>
      </c>
      <c r="U54" s="400" t="s">
        <v>2005</v>
      </c>
      <c r="V54" s="401" t="s">
        <v>1054</v>
      </c>
      <c r="W54" s="402" t="s">
        <v>1054</v>
      </c>
      <c r="X54" s="402" t="s">
        <v>1054</v>
      </c>
      <c r="Y54" s="403">
        <v>9999</v>
      </c>
      <c r="Z54" s="404">
        <v>0</v>
      </c>
      <c r="AA54" s="400" t="s">
        <v>2005</v>
      </c>
      <c r="AB54" s="401" t="s">
        <v>1054</v>
      </c>
      <c r="AC54" s="402" t="s">
        <v>1054</v>
      </c>
      <c r="AD54" s="402" t="s">
        <v>1054</v>
      </c>
      <c r="AE54" s="403">
        <v>9999</v>
      </c>
      <c r="AF54" s="404">
        <v>0</v>
      </c>
      <c r="AG54" s="409"/>
      <c r="AH54" s="445">
        <v>20</v>
      </c>
      <c r="AI54" s="405">
        <f>IF(N($AH54)&gt;0,VLOOKUP($AH54,Body!$A$4:$F$259,5,0),"")</f>
        <v>64.264921874999999</v>
      </c>
      <c r="AJ54" s="406">
        <f>IF(N($AH54)&gt;0,VLOOKUP($AH54,Body!$A$4:$F$259,6,0),"")</f>
        <v>0</v>
      </c>
      <c r="AK54" s="405">
        <f>IF(N($AH54)&gt;0,VLOOKUP($AH54,Body!$A$4:$F$259,2,0),"")</f>
        <v>1.75</v>
      </c>
      <c r="AL54" s="407" t="str">
        <f t="shared" si="23"/>
        <v>44 JAPKO - Vais Martin</v>
      </c>
      <c r="AM54" s="408">
        <f t="shared" si="24"/>
        <v>8.4380000000000006</v>
      </c>
      <c r="AN54" s="334">
        <f>IF(OR(TYPE(I54)&gt;1,TYPE(MATCH(I54,I55:I$139,0))&gt;1),0,MATCH(I54,I55:I$139,0))+IF(OR(TYPE(I54)&gt;1,TYPE(MATCH(I54,O$11:O$139,0))&gt;1),0,MATCH(I54,O$11:O$139,0))+IF(OR(TYPE(I54)&gt;1,TYPE(MATCH(I54,U$11:U$139,0))&gt;1),0,MATCH(I54,U$11:U$139,0))+IF(OR(TYPE(I54)&gt;1,TYPE(MATCH(I54,AA$11:AA$139,0))&gt;1),0,MATCH(I54,AA$11:AA$139,0))</f>
        <v>0</v>
      </c>
      <c r="AO54" s="334">
        <f>IF(OR(TYPE(O54)&gt;1,TYPE(MATCH(O54,I$11:I$139,0))&gt;1),0,MATCH(O54,I$11:I$139,0))+IF(OR(TYPE(O54)&gt;1,TYPE(MATCH(O54,O55:O$139,0))&gt;1),0,MATCH(O54,O55:O$139,0))+IF(OR(TYPE(O54)&gt;1,TYPE(MATCH(O54,U$11:U$139,0))&gt;1),0,MATCH(O54,U$11:U$139,0))+IF(OR(TYPE(O54)&gt;1,TYPE(MATCH(O54,AA$11:AA$139,0))&gt;1),0,MATCH(O54,AA$11:AA$139,0))</f>
        <v>0</v>
      </c>
      <c r="AP54" s="334">
        <f>IF(OR(TYPE(U54)&gt;1,TYPE(MATCH(U54,I$11:I$139,0))&gt;1),0,MATCH(U54,I$11:I$139,0))+IF(OR(TYPE(U54)&gt;1,TYPE(MATCH(U54,O$11:O$139,0))&gt;1),0,MATCH(U54,O$11:O$139,0))+IF(OR(TYPE(U54)&gt;1,TYPE(MATCH(U54,U55:U$139,0))&gt;1),0,MATCH(U54,U55:U$139,0))+IF(OR(TYPE(U54)&gt;1,TYPE(MATCH(U54,AA$11:AA$139,0))&gt;1),0,MATCH(U54,AA$11:AA$139,0))</f>
        <v>0</v>
      </c>
      <c r="AQ54" s="334">
        <f>IF(OR(TYPE(AA54)&gt;1,TYPE(MATCH(AA54,I$11:I$139,0))&gt;1),0,MATCH(AA54,I$11:I$139,0))+IF(OR(TYPE(AA54)&gt;1,TYPE(MATCH(AA54,O$11:O$139,0))&gt;1),0,MATCH(AA54,O$11:O$139,0))+IF(OR(TYPE(AA54)&gt;1,TYPE(MATCH(AA54,U$11:U$139,0))&gt;1),0,MATCH(U54,U$11:U$139,0))+IF(OR(TYPE(AA54)&gt;1,TYPE(MATCH(AA54,AA55:AA$139,0))&gt;1),0,MATCH(AA54,AA55:AA$139,0))</f>
        <v>0</v>
      </c>
      <c r="AR54" s="334">
        <f t="shared" si="25"/>
        <v>0</v>
      </c>
      <c r="AT54" s="333">
        <f t="shared" si="26"/>
        <v>0</v>
      </c>
      <c r="AU54" s="333">
        <f>IF(AND(N(I54)&gt;0,TYPE(VLOOKUP(I54,Hraci!$A$5:$A$800,1,0))&gt;3),1,0) + IF(AND(N(O54)&gt;0,TYPE(VLOOKUP(O54,Hraci!$A$5:$A$800,1,0))&gt;3),1,0) + IF(AND(N(U54)&gt;0,TYPE(VLOOKUP(U54,Hraci!$A$5:$A$800,1,0))&gt;3),1,0)</f>
        <v>0</v>
      </c>
      <c r="BF54" s="334">
        <f t="shared" si="14"/>
        <v>44</v>
      </c>
    </row>
    <row r="55" spans="1:58" ht="14.25" x14ac:dyDescent="0.3">
      <c r="A55" s="358">
        <f t="shared" si="15"/>
        <v>2</v>
      </c>
      <c r="B55" s="358">
        <f t="shared" si="16"/>
        <v>1</v>
      </c>
      <c r="C55" s="358">
        <f t="shared" si="17"/>
        <v>8.282</v>
      </c>
      <c r="D55" s="358">
        <f t="shared" si="18"/>
        <v>10881</v>
      </c>
      <c r="E55" s="358">
        <f t="shared" si="19"/>
        <v>280</v>
      </c>
      <c r="F55" s="359" t="str">
        <f t="shared" ca="1" si="20"/>
        <v>91008282989118999719429582</v>
      </c>
      <c r="G55" s="398" t="b">
        <f t="shared" si="21"/>
        <v>0</v>
      </c>
      <c r="H55" s="399">
        <f t="shared" si="22"/>
        <v>45</v>
      </c>
      <c r="I55" s="400">
        <v>16060</v>
      </c>
      <c r="J55" s="401" t="s">
        <v>1566</v>
      </c>
      <c r="K55" s="402" t="s">
        <v>33</v>
      </c>
      <c r="L55" s="402" t="s">
        <v>1524</v>
      </c>
      <c r="M55" s="403">
        <v>280</v>
      </c>
      <c r="N55" s="404">
        <v>7.282</v>
      </c>
      <c r="O55" s="400">
        <v>16064</v>
      </c>
      <c r="P55" s="401" t="s">
        <v>1523</v>
      </c>
      <c r="Q55" s="402" t="s">
        <v>96</v>
      </c>
      <c r="R55" s="402" t="s">
        <v>1524</v>
      </c>
      <c r="S55" s="403">
        <v>602</v>
      </c>
      <c r="T55" s="404">
        <v>1</v>
      </c>
      <c r="U55" s="400" t="s">
        <v>2005</v>
      </c>
      <c r="V55" s="401" t="s">
        <v>1054</v>
      </c>
      <c r="W55" s="402" t="s">
        <v>1054</v>
      </c>
      <c r="X55" s="402" t="s">
        <v>1054</v>
      </c>
      <c r="Y55" s="403">
        <v>9999</v>
      </c>
      <c r="Z55" s="404">
        <v>0</v>
      </c>
      <c r="AA55" s="400" t="s">
        <v>2005</v>
      </c>
      <c r="AB55" s="401" t="s">
        <v>1054</v>
      </c>
      <c r="AC55" s="402" t="s">
        <v>1054</v>
      </c>
      <c r="AD55" s="402" t="s">
        <v>1054</v>
      </c>
      <c r="AE55" s="403">
        <v>9999</v>
      </c>
      <c r="AF55" s="404">
        <v>0</v>
      </c>
      <c r="AG55" s="409"/>
      <c r="AH55" s="445">
        <f ca="1">IF(TYPE(VLOOKUP(H55,Centrum!$A$3:$E$130,5,0))&lt;4,VLOOKUP(H55,Centrum!$A$3:$E$130,5,0),0)</f>
        <v>14</v>
      </c>
      <c r="AI55" s="405">
        <f ca="1">IF(N($AH55)&gt;0,VLOOKUP($AH55,Body!$A$4:$F$259,5,0),"")</f>
        <v>82.626328124999986</v>
      </c>
      <c r="AJ55" s="406">
        <f ca="1">IF(N($AH55)&gt;0,VLOOKUP($AH55,Body!$A$4:$F$259,6,0),"")</f>
        <v>0</v>
      </c>
      <c r="AK55" s="405">
        <f ca="1">IF(N($AH55)&gt;0,VLOOKUP($AH55,Body!$A$4:$F$259,2,0),"")</f>
        <v>2.25</v>
      </c>
      <c r="AL55" s="407" t="str">
        <f t="shared" si="23"/>
        <v>45 Spolek Park Grébovka - Kremlík Miroslav</v>
      </c>
      <c r="AM55" s="408">
        <f t="shared" si="24"/>
        <v>8.282</v>
      </c>
      <c r="AN55" s="334">
        <f>IF(OR(TYPE(I55)&gt;1,TYPE(MATCH(I55,I56:I$139,0))&gt;1),0,MATCH(I55,I56:I$139,0))+IF(OR(TYPE(I55)&gt;1,TYPE(MATCH(I55,O$11:O$139,0))&gt;1),0,MATCH(I55,O$11:O$139,0))+IF(OR(TYPE(I55)&gt;1,TYPE(MATCH(I55,U$11:U$139,0))&gt;1),0,MATCH(I55,U$11:U$139,0))+IF(OR(TYPE(I55)&gt;1,TYPE(MATCH(I55,AA$11:AA$139,0))&gt;1),0,MATCH(I55,AA$11:AA$139,0))</f>
        <v>0</v>
      </c>
      <c r="AO55" s="334">
        <f>IF(OR(TYPE(O55)&gt;1,TYPE(MATCH(O55,I$11:I$139,0))&gt;1),0,MATCH(O55,I$11:I$139,0))+IF(OR(TYPE(O55)&gt;1,TYPE(MATCH(O55,O56:O$139,0))&gt;1),0,MATCH(O55,O56:O$139,0))+IF(OR(TYPE(O55)&gt;1,TYPE(MATCH(O55,U$11:U$139,0))&gt;1),0,MATCH(O55,U$11:U$139,0))+IF(OR(TYPE(O55)&gt;1,TYPE(MATCH(O55,AA$11:AA$139,0))&gt;1),0,MATCH(O55,AA$11:AA$139,0))</f>
        <v>0</v>
      </c>
      <c r="AP55" s="334">
        <f>IF(OR(TYPE(U55)&gt;1,TYPE(MATCH(U55,I$11:I$139,0))&gt;1),0,MATCH(U55,I$11:I$139,0))+IF(OR(TYPE(U55)&gt;1,TYPE(MATCH(U55,O$11:O$139,0))&gt;1),0,MATCH(U55,O$11:O$139,0))+IF(OR(TYPE(U55)&gt;1,TYPE(MATCH(U55,U56:U$139,0))&gt;1),0,MATCH(U55,U56:U$139,0))+IF(OR(TYPE(U55)&gt;1,TYPE(MATCH(U55,AA$11:AA$139,0))&gt;1),0,MATCH(U55,AA$11:AA$139,0))</f>
        <v>0</v>
      </c>
      <c r="AQ55" s="334">
        <f>IF(OR(TYPE(AA55)&gt;1,TYPE(MATCH(AA55,I$11:I$139,0))&gt;1),0,MATCH(AA55,I$11:I$139,0))+IF(OR(TYPE(AA55)&gt;1,TYPE(MATCH(AA55,O$11:O$139,0))&gt;1),0,MATCH(AA55,O$11:O$139,0))+IF(OR(TYPE(AA55)&gt;1,TYPE(MATCH(AA55,U$11:U$139,0))&gt;1),0,MATCH(U55,U$11:U$139,0))+IF(OR(TYPE(AA55)&gt;1,TYPE(MATCH(AA55,AA56:AA$139,0))&gt;1),0,MATCH(AA55,AA56:AA$139,0))</f>
        <v>0</v>
      </c>
      <c r="AR55" s="334">
        <f t="shared" si="25"/>
        <v>0</v>
      </c>
      <c r="AT55" s="333">
        <f t="shared" si="26"/>
        <v>0</v>
      </c>
      <c r="AU55" s="333">
        <f>IF(AND(N(I55)&gt;0,TYPE(VLOOKUP(I55,Hraci!$A$5:$A$800,1,0))&gt;3),1,0) + IF(AND(N(O55)&gt;0,TYPE(VLOOKUP(O55,Hraci!$A$5:$A$800,1,0))&gt;3),1,0) + IF(AND(N(U55)&gt;0,TYPE(VLOOKUP(U55,Hraci!$A$5:$A$800,1,0))&gt;3),1,0)</f>
        <v>0</v>
      </c>
      <c r="BF55" s="334">
        <f t="shared" si="14"/>
        <v>45</v>
      </c>
    </row>
    <row r="56" spans="1:58" ht="14.25" x14ac:dyDescent="0.3">
      <c r="A56" s="358">
        <f t="shared" si="15"/>
        <v>2</v>
      </c>
      <c r="B56" s="358">
        <f t="shared" si="16"/>
        <v>1</v>
      </c>
      <c r="C56" s="358">
        <f t="shared" si="17"/>
        <v>6.6280000000000001</v>
      </c>
      <c r="D56" s="358">
        <f t="shared" si="18"/>
        <v>10892</v>
      </c>
      <c r="E56" s="317">
        <f t="shared" si="19"/>
        <v>413</v>
      </c>
      <c r="F56" s="359" t="str">
        <f t="shared" ca="1" si="20"/>
        <v>91006628989107999586776183</v>
      </c>
      <c r="G56" s="398" t="b">
        <f t="shared" si="21"/>
        <v>0</v>
      </c>
      <c r="H56" s="399">
        <f t="shared" si="22"/>
        <v>46</v>
      </c>
      <c r="I56" s="400">
        <v>29053</v>
      </c>
      <c r="J56" s="401" t="s">
        <v>243</v>
      </c>
      <c r="K56" s="402" t="s">
        <v>54</v>
      </c>
      <c r="L56" s="402" t="s">
        <v>1142</v>
      </c>
      <c r="M56" s="403">
        <v>413</v>
      </c>
      <c r="N56" s="404">
        <v>4.5019999999999998</v>
      </c>
      <c r="O56" s="400">
        <v>29051</v>
      </c>
      <c r="P56" s="401" t="s">
        <v>159</v>
      </c>
      <c r="Q56" s="402" t="s">
        <v>24</v>
      </c>
      <c r="R56" s="402" t="s">
        <v>1142</v>
      </c>
      <c r="S56" s="403">
        <v>480</v>
      </c>
      <c r="T56" s="404">
        <v>2.1259999999999999</v>
      </c>
      <c r="U56" s="400" t="s">
        <v>2005</v>
      </c>
      <c r="V56" s="401" t="s">
        <v>1054</v>
      </c>
      <c r="W56" s="402" t="s">
        <v>1054</v>
      </c>
      <c r="X56" s="402" t="s">
        <v>1054</v>
      </c>
      <c r="Y56" s="403">
        <v>9999</v>
      </c>
      <c r="Z56" s="404">
        <v>0</v>
      </c>
      <c r="AA56" s="400" t="s">
        <v>2005</v>
      </c>
      <c r="AB56" s="401" t="s">
        <v>1054</v>
      </c>
      <c r="AC56" s="402" t="s">
        <v>1054</v>
      </c>
      <c r="AD56" s="402" t="s">
        <v>1054</v>
      </c>
      <c r="AE56" s="403">
        <v>9999</v>
      </c>
      <c r="AF56" s="404">
        <v>0</v>
      </c>
      <c r="AG56" s="409"/>
      <c r="AH56" s="445">
        <v>48</v>
      </c>
      <c r="AI56" s="405">
        <f>IF(N($AH56)&gt;0,VLOOKUP($AH56,Body!$A$4:$F$259,5,0),"")</f>
        <v>18.361406249999998</v>
      </c>
      <c r="AJ56" s="406">
        <f>IF(N($AH56)&gt;0,VLOOKUP($AH56,Body!$A$4:$F$259,6,0),"")</f>
        <v>0</v>
      </c>
      <c r="AK56" s="405">
        <f>IF(N($AH56)&gt;0,VLOOKUP($AH56,Body!$A$4:$F$259,2,0),"")</f>
        <v>0.5</v>
      </c>
      <c r="AL56" s="407" t="str">
        <f t="shared" si="23"/>
        <v>46 CdP Loděnice - Hytych Petr</v>
      </c>
      <c r="AM56" s="408">
        <f t="shared" si="24"/>
        <v>6.6280000000000001</v>
      </c>
      <c r="AN56" s="334">
        <f>IF(OR(TYPE(I56)&gt;1,TYPE(MATCH(I56,I57:I$139,0))&gt;1),0,MATCH(I56,I57:I$139,0))+IF(OR(TYPE(I56)&gt;1,TYPE(MATCH(I56,O$11:O$139,0))&gt;1),0,MATCH(I56,O$11:O$139,0))+IF(OR(TYPE(I56)&gt;1,TYPE(MATCH(I56,U$11:U$139,0))&gt;1),0,MATCH(I56,U$11:U$139,0))+IF(OR(TYPE(I56)&gt;1,TYPE(MATCH(I56,AA$11:AA$139,0))&gt;1),0,MATCH(I56,AA$11:AA$139,0))</f>
        <v>0</v>
      </c>
      <c r="AO56" s="334">
        <f>IF(OR(TYPE(O56)&gt;1,TYPE(MATCH(O56,I$11:I$139,0))&gt;1),0,MATCH(O56,I$11:I$139,0))+IF(OR(TYPE(O56)&gt;1,TYPE(MATCH(O56,O57:O$139,0))&gt;1),0,MATCH(O56,O57:O$139,0))+IF(OR(TYPE(O56)&gt;1,TYPE(MATCH(O56,U$11:U$139,0))&gt;1),0,MATCH(O56,U$11:U$139,0))+IF(OR(TYPE(O56)&gt;1,TYPE(MATCH(O56,AA$11:AA$139,0))&gt;1),0,MATCH(O56,AA$11:AA$139,0))</f>
        <v>0</v>
      </c>
      <c r="AP56" s="334">
        <f>IF(OR(TYPE(U56)&gt;1,TYPE(MATCH(U56,I$11:I$139,0))&gt;1),0,MATCH(U56,I$11:I$139,0))+IF(OR(TYPE(U56)&gt;1,TYPE(MATCH(U56,O$11:O$139,0))&gt;1),0,MATCH(U56,O$11:O$139,0))+IF(OR(TYPE(U56)&gt;1,TYPE(MATCH(U56,U57:U$139,0))&gt;1),0,MATCH(U56,U57:U$139,0))+IF(OR(TYPE(U56)&gt;1,TYPE(MATCH(U56,AA$11:AA$139,0))&gt;1),0,MATCH(U56,AA$11:AA$139,0))</f>
        <v>0</v>
      </c>
      <c r="AQ56" s="334">
        <f>IF(OR(TYPE(AA56)&gt;1,TYPE(MATCH(AA56,I$11:I$139,0))&gt;1),0,MATCH(AA56,I$11:I$139,0))+IF(OR(TYPE(AA56)&gt;1,TYPE(MATCH(AA56,O$11:O$139,0))&gt;1),0,MATCH(AA56,O$11:O$139,0))+IF(OR(TYPE(AA56)&gt;1,TYPE(MATCH(AA56,U$11:U$139,0))&gt;1),0,MATCH(U56,U$11:U$139,0))+IF(OR(TYPE(AA56)&gt;1,TYPE(MATCH(AA56,AA57:AA$139,0))&gt;1),0,MATCH(AA56,AA57:AA$139,0))</f>
        <v>0</v>
      </c>
      <c r="AR56" s="334">
        <f t="shared" si="25"/>
        <v>0</v>
      </c>
      <c r="AT56" s="333">
        <f t="shared" si="26"/>
        <v>0</v>
      </c>
      <c r="AU56" s="333">
        <f>IF(AND(N(I56)&gt;0,TYPE(VLOOKUP(I56,Hraci!$A$5:$A$800,1,0))&gt;3),1,0) + IF(AND(N(O56)&gt;0,TYPE(VLOOKUP(O56,Hraci!$A$5:$A$800,1,0))&gt;3),1,0) + IF(AND(N(U56)&gt;0,TYPE(VLOOKUP(U56,Hraci!$A$5:$A$800,1,0))&gt;3),1,0)</f>
        <v>0</v>
      </c>
      <c r="BF56" s="334">
        <f t="shared" si="14"/>
        <v>46</v>
      </c>
    </row>
    <row r="57" spans="1:58" ht="14.25" x14ac:dyDescent="0.3">
      <c r="A57" s="358">
        <f t="shared" si="15"/>
        <v>2</v>
      </c>
      <c r="B57" s="358">
        <f t="shared" si="16"/>
        <v>1</v>
      </c>
      <c r="C57" s="358">
        <f t="shared" si="17"/>
        <v>3.8279999999999998</v>
      </c>
      <c r="D57" s="358">
        <f t="shared" si="18"/>
        <v>11200</v>
      </c>
      <c r="E57" s="358">
        <f t="shared" si="19"/>
        <v>352</v>
      </c>
      <c r="F57" s="359" t="str">
        <f t="shared" ca="1" si="20"/>
        <v>91003828988799999647737596</v>
      </c>
      <c r="G57" s="398" t="b">
        <f t="shared" si="21"/>
        <v>0</v>
      </c>
      <c r="H57" s="399">
        <f t="shared" si="22"/>
        <v>47</v>
      </c>
      <c r="I57" s="400">
        <v>16006</v>
      </c>
      <c r="J57" s="401" t="s">
        <v>1639</v>
      </c>
      <c r="K57" s="402" t="s">
        <v>204</v>
      </c>
      <c r="L57" s="402" t="s">
        <v>1169</v>
      </c>
      <c r="M57" s="403">
        <v>352</v>
      </c>
      <c r="N57" s="404">
        <v>3.8279999999999998</v>
      </c>
      <c r="O57" s="400">
        <v>16137</v>
      </c>
      <c r="P57" s="401" t="s">
        <v>1743</v>
      </c>
      <c r="Q57" s="402" t="s">
        <v>1744</v>
      </c>
      <c r="R57" s="402" t="s">
        <v>1169</v>
      </c>
      <c r="S57" s="403">
        <v>849</v>
      </c>
      <c r="T57" s="404">
        <v>0</v>
      </c>
      <c r="U57" s="400" t="s">
        <v>2005</v>
      </c>
      <c r="V57" s="401" t="s">
        <v>1054</v>
      </c>
      <c r="W57" s="402" t="s">
        <v>1054</v>
      </c>
      <c r="X57" s="402" t="s">
        <v>1054</v>
      </c>
      <c r="Y57" s="403">
        <v>9999</v>
      </c>
      <c r="Z57" s="404">
        <v>0</v>
      </c>
      <c r="AA57" s="400" t="s">
        <v>2005</v>
      </c>
      <c r="AB57" s="401" t="s">
        <v>1054</v>
      </c>
      <c r="AC57" s="402" t="s">
        <v>1054</v>
      </c>
      <c r="AD57" s="402" t="s">
        <v>1054</v>
      </c>
      <c r="AE57" s="403">
        <v>9999</v>
      </c>
      <c r="AF57" s="404">
        <v>0</v>
      </c>
      <c r="AG57" s="409"/>
      <c r="AH57" s="445">
        <v>42</v>
      </c>
      <c r="AI57" s="405">
        <f>IF(N($AH57)&gt;0,VLOOKUP($AH57,Body!$A$4:$F$259,5,0),"")</f>
        <v>25.246933593749997</v>
      </c>
      <c r="AJ57" s="406">
        <f>IF(N($AH57)&gt;0,VLOOKUP($AH57,Body!$A$4:$F$259,6,0),"")</f>
        <v>0</v>
      </c>
      <c r="AK57" s="405">
        <f>IF(N($AH57)&gt;0,VLOOKUP($AH57,Body!$A$4:$F$259,2,0),"")</f>
        <v>0.6875</v>
      </c>
      <c r="AL57" s="407" t="str">
        <f t="shared" si="23"/>
        <v>47 Club Rodamiento - Soukupová Irena</v>
      </c>
      <c r="AM57" s="408">
        <f t="shared" si="24"/>
        <v>3.8279999999999998</v>
      </c>
      <c r="AN57" s="334">
        <f>IF(OR(TYPE(I57)&gt;1,TYPE(MATCH(I57,I58:I$139,0))&gt;1),0,MATCH(I57,I58:I$139,0))+IF(OR(TYPE(I57)&gt;1,TYPE(MATCH(I57,O$11:O$139,0))&gt;1),0,MATCH(I57,O$11:O$139,0))+IF(OR(TYPE(I57)&gt;1,TYPE(MATCH(I57,U$11:U$139,0))&gt;1),0,MATCH(I57,U$11:U$139,0))+IF(OR(TYPE(I57)&gt;1,TYPE(MATCH(I57,AA$11:AA$139,0))&gt;1),0,MATCH(I57,AA$11:AA$139,0))</f>
        <v>0</v>
      </c>
      <c r="AO57" s="334">
        <f>IF(OR(TYPE(O57)&gt;1,TYPE(MATCH(O57,I$11:I$139,0))&gt;1),0,MATCH(O57,I$11:I$139,0))+IF(OR(TYPE(O57)&gt;1,TYPE(MATCH(O57,O58:O$139,0))&gt;1),0,MATCH(O57,O58:O$139,0))+IF(OR(TYPE(O57)&gt;1,TYPE(MATCH(O57,U$11:U$139,0))&gt;1),0,MATCH(O57,U$11:U$139,0))+IF(OR(TYPE(O57)&gt;1,TYPE(MATCH(O57,AA$11:AA$139,0))&gt;1),0,MATCH(O57,AA$11:AA$139,0))</f>
        <v>0</v>
      </c>
      <c r="AP57" s="334">
        <f>IF(OR(TYPE(U57)&gt;1,TYPE(MATCH(U57,I$11:I$139,0))&gt;1),0,MATCH(U57,I$11:I$139,0))+IF(OR(TYPE(U57)&gt;1,TYPE(MATCH(U57,O$11:O$139,0))&gt;1),0,MATCH(U57,O$11:O$139,0))+IF(OR(TYPE(U57)&gt;1,TYPE(MATCH(U57,U58:U$139,0))&gt;1),0,MATCH(U57,U58:U$139,0))+IF(OR(TYPE(U57)&gt;1,TYPE(MATCH(U57,AA$11:AA$139,0))&gt;1),0,MATCH(U57,AA$11:AA$139,0))</f>
        <v>0</v>
      </c>
      <c r="AQ57" s="334">
        <f>IF(OR(TYPE(AA57)&gt;1,TYPE(MATCH(AA57,I$11:I$139,0))&gt;1),0,MATCH(AA57,I$11:I$139,0))+IF(OR(TYPE(AA57)&gt;1,TYPE(MATCH(AA57,O$11:O$139,0))&gt;1),0,MATCH(AA57,O$11:O$139,0))+IF(OR(TYPE(AA57)&gt;1,TYPE(MATCH(AA57,U$11:U$139,0))&gt;1),0,MATCH(U57,U$11:U$139,0))+IF(OR(TYPE(AA57)&gt;1,TYPE(MATCH(AA57,AA58:AA$139,0))&gt;1),0,MATCH(AA57,AA58:AA$139,0))</f>
        <v>0</v>
      </c>
      <c r="AR57" s="334">
        <f t="shared" si="25"/>
        <v>0</v>
      </c>
      <c r="AT57" s="333">
        <f t="shared" si="26"/>
        <v>0</v>
      </c>
      <c r="AU57" s="333">
        <f>IF(AND(N(I57)&gt;0,TYPE(VLOOKUP(I57,Hraci!$A$5:$A$800,1,0))&gt;3),1,0) + IF(AND(N(O57)&gt;0,TYPE(VLOOKUP(O57,Hraci!$A$5:$A$800,1,0))&gt;3),1,0) + IF(AND(N(U57)&gt;0,TYPE(VLOOKUP(U57,Hraci!$A$5:$A$800,1,0))&gt;3),1,0)</f>
        <v>0</v>
      </c>
      <c r="BF57" s="334">
        <f t="shared" si="14"/>
        <v>47</v>
      </c>
    </row>
    <row r="58" spans="1:58" ht="14.25" x14ac:dyDescent="0.3">
      <c r="A58" s="358">
        <f t="shared" si="15"/>
        <v>2</v>
      </c>
      <c r="B58" s="358">
        <f t="shared" si="16"/>
        <v>1</v>
      </c>
      <c r="C58" s="358">
        <f t="shared" si="17"/>
        <v>2.8760000000000003</v>
      </c>
      <c r="D58" s="358">
        <f t="shared" si="18"/>
        <v>11040</v>
      </c>
      <c r="E58" s="358">
        <f t="shared" si="19"/>
        <v>455</v>
      </c>
      <c r="F58" s="359" t="str">
        <f t="shared" ca="1" si="20"/>
        <v>91002876988959999544580369</v>
      </c>
      <c r="G58" s="398" t="b">
        <f t="shared" si="21"/>
        <v>0</v>
      </c>
      <c r="H58" s="399">
        <f t="shared" si="22"/>
        <v>48</v>
      </c>
      <c r="I58" s="400">
        <v>16082</v>
      </c>
      <c r="J58" s="401" t="s">
        <v>1607</v>
      </c>
      <c r="K58" s="402" t="s">
        <v>67</v>
      </c>
      <c r="L58" s="402" t="s">
        <v>1441</v>
      </c>
      <c r="M58" s="403">
        <v>455</v>
      </c>
      <c r="N58" s="404">
        <v>2.5630000000000002</v>
      </c>
      <c r="O58" s="400">
        <v>16072</v>
      </c>
      <c r="P58" s="401" t="s">
        <v>1492</v>
      </c>
      <c r="Q58" s="402" t="s">
        <v>120</v>
      </c>
      <c r="R58" s="402" t="s">
        <v>1441</v>
      </c>
      <c r="S58" s="403">
        <v>586</v>
      </c>
      <c r="T58" s="404">
        <v>0.313</v>
      </c>
      <c r="U58" s="400" t="s">
        <v>2005</v>
      </c>
      <c r="V58" s="401" t="s">
        <v>1054</v>
      </c>
      <c r="W58" s="402" t="s">
        <v>1054</v>
      </c>
      <c r="X58" s="402" t="s">
        <v>1054</v>
      </c>
      <c r="Y58" s="403">
        <v>9999</v>
      </c>
      <c r="Z58" s="404">
        <v>0</v>
      </c>
      <c r="AA58" s="400" t="s">
        <v>2005</v>
      </c>
      <c r="AB58" s="401" t="s">
        <v>1054</v>
      </c>
      <c r="AC58" s="402" t="s">
        <v>1054</v>
      </c>
      <c r="AD58" s="402" t="s">
        <v>1054</v>
      </c>
      <c r="AE58" s="403">
        <v>9999</v>
      </c>
      <c r="AF58" s="404">
        <v>0</v>
      </c>
      <c r="AG58" s="409"/>
      <c r="AH58" s="445">
        <f ca="1">IF(TYPE(VLOOKUP(H58,Centrum!$A$3:$E$130,5,0))&lt;4,VLOOKUP(H58,Centrum!$A$3:$E$130,5,0),0)</f>
        <v>46</v>
      </c>
      <c r="AI58" s="405">
        <f ca="1">IF(N($AH58)&gt;0,VLOOKUP($AH58,Body!$A$4:$F$259,5,0),"")</f>
        <v>20.656582031249997</v>
      </c>
      <c r="AJ58" s="406">
        <f ca="1">IF(N($AH58)&gt;0,VLOOKUP($AH58,Body!$A$4:$F$259,6,0),"")</f>
        <v>0</v>
      </c>
      <c r="AK58" s="405">
        <f ca="1">IF(N($AH58)&gt;0,VLOOKUP($AH58,Body!$A$4:$F$259,2,0),"")</f>
        <v>0.5625</v>
      </c>
      <c r="AL58" s="407" t="str">
        <f t="shared" si="23"/>
        <v>48 SK Španielka Řepy - Pastorek Jaroslav</v>
      </c>
      <c r="AM58" s="408">
        <f t="shared" si="24"/>
        <v>2.8760000000000003</v>
      </c>
      <c r="AN58" s="334">
        <f>IF(OR(TYPE(I58)&gt;1,TYPE(MATCH(I58,I59:I$139,0))&gt;1),0,MATCH(I58,I59:I$139,0))+IF(OR(TYPE(I58)&gt;1,TYPE(MATCH(I58,O$11:O$139,0))&gt;1),0,MATCH(I58,O$11:O$139,0))+IF(OR(TYPE(I58)&gt;1,TYPE(MATCH(I58,U$11:U$139,0))&gt;1),0,MATCH(I58,U$11:U$139,0))+IF(OR(TYPE(I58)&gt;1,TYPE(MATCH(I58,AA$11:AA$139,0))&gt;1),0,MATCH(I58,AA$11:AA$139,0))</f>
        <v>0</v>
      </c>
      <c r="AO58" s="334">
        <f>IF(OR(TYPE(O58)&gt;1,TYPE(MATCH(O58,I$11:I$139,0))&gt;1),0,MATCH(O58,I$11:I$139,0))+IF(OR(TYPE(O58)&gt;1,TYPE(MATCH(O58,O59:O$139,0))&gt;1),0,MATCH(O58,O59:O$139,0))+IF(OR(TYPE(O58)&gt;1,TYPE(MATCH(O58,U$11:U$139,0))&gt;1),0,MATCH(O58,U$11:U$139,0))+IF(OR(TYPE(O58)&gt;1,TYPE(MATCH(O58,AA$11:AA$139,0))&gt;1),0,MATCH(O58,AA$11:AA$139,0))</f>
        <v>0</v>
      </c>
      <c r="AP58" s="334">
        <f>IF(OR(TYPE(U58)&gt;1,TYPE(MATCH(U58,I$11:I$139,0))&gt;1),0,MATCH(U58,I$11:I$139,0))+IF(OR(TYPE(U58)&gt;1,TYPE(MATCH(U58,O$11:O$139,0))&gt;1),0,MATCH(U58,O$11:O$139,0))+IF(OR(TYPE(U58)&gt;1,TYPE(MATCH(U58,U59:U$139,0))&gt;1),0,MATCH(U58,U59:U$139,0))+IF(OR(TYPE(U58)&gt;1,TYPE(MATCH(U58,AA$11:AA$139,0))&gt;1),0,MATCH(U58,AA$11:AA$139,0))</f>
        <v>0</v>
      </c>
      <c r="AQ58" s="334">
        <f>IF(OR(TYPE(AA58)&gt;1,TYPE(MATCH(AA58,I$11:I$139,0))&gt;1),0,MATCH(AA58,I$11:I$139,0))+IF(OR(TYPE(AA58)&gt;1,TYPE(MATCH(AA58,O$11:O$139,0))&gt;1),0,MATCH(AA58,O$11:O$139,0))+IF(OR(TYPE(AA58)&gt;1,TYPE(MATCH(AA58,U$11:U$139,0))&gt;1),0,MATCH(U58,U$11:U$139,0))+IF(OR(TYPE(AA58)&gt;1,TYPE(MATCH(AA58,AA59:AA$139,0))&gt;1),0,MATCH(AA58,AA59:AA$139,0))</f>
        <v>0</v>
      </c>
      <c r="AR58" s="334">
        <f t="shared" si="25"/>
        <v>0</v>
      </c>
      <c r="AT58" s="333">
        <f t="shared" si="26"/>
        <v>0</v>
      </c>
      <c r="AU58" s="333">
        <f>IF(AND(N(I58)&gt;0,TYPE(VLOOKUP(I58,Hraci!$A$5:$A$800,1,0))&gt;3),1,0) + IF(AND(N(O58)&gt;0,TYPE(VLOOKUP(O58,Hraci!$A$5:$A$800,1,0))&gt;3),1,0) + IF(AND(N(U58)&gt;0,TYPE(VLOOKUP(U58,Hraci!$A$5:$A$800,1,0))&gt;3),1,0)</f>
        <v>0</v>
      </c>
      <c r="BF58" s="334">
        <f t="shared" si="14"/>
        <v>48</v>
      </c>
    </row>
    <row r="59" spans="1:58" ht="14.25" x14ac:dyDescent="0.3">
      <c r="A59" s="358">
        <f t="shared" si="15"/>
        <v>2</v>
      </c>
      <c r="B59" s="358">
        <f t="shared" si="16"/>
        <v>1</v>
      </c>
      <c r="C59" s="358">
        <f t="shared" si="17"/>
        <v>2.5470000000000002</v>
      </c>
      <c r="D59" s="358">
        <f t="shared" si="18"/>
        <v>11166</v>
      </c>
      <c r="E59" s="358">
        <f t="shared" si="19"/>
        <v>527</v>
      </c>
      <c r="F59" s="359" t="str">
        <f t="shared" ca="1" si="20"/>
        <v>91002547988833999472137999</v>
      </c>
      <c r="G59" s="398" t="b">
        <f t="shared" si="21"/>
        <v>0</v>
      </c>
      <c r="H59" s="399">
        <f t="shared" si="22"/>
        <v>49</v>
      </c>
      <c r="I59" s="400">
        <v>16089</v>
      </c>
      <c r="J59" s="401" t="s">
        <v>1710</v>
      </c>
      <c r="K59" s="402" t="s">
        <v>1711</v>
      </c>
      <c r="L59" s="402" t="s">
        <v>1441</v>
      </c>
      <c r="M59" s="403">
        <v>527</v>
      </c>
      <c r="N59" s="404">
        <v>1.5940000000000001</v>
      </c>
      <c r="O59" s="400">
        <v>16090</v>
      </c>
      <c r="P59" s="401" t="s">
        <v>1712</v>
      </c>
      <c r="Q59" s="402" t="s">
        <v>109</v>
      </c>
      <c r="R59" s="402" t="s">
        <v>1441</v>
      </c>
      <c r="S59" s="403">
        <v>640</v>
      </c>
      <c r="T59" s="404">
        <v>0.95299999999999996</v>
      </c>
      <c r="U59" s="400" t="s">
        <v>2005</v>
      </c>
      <c r="V59" s="401" t="s">
        <v>1054</v>
      </c>
      <c r="W59" s="402" t="s">
        <v>1054</v>
      </c>
      <c r="X59" s="402" t="s">
        <v>1054</v>
      </c>
      <c r="Y59" s="403">
        <v>9999</v>
      </c>
      <c r="Z59" s="404">
        <v>0</v>
      </c>
      <c r="AA59" s="400" t="s">
        <v>2005</v>
      </c>
      <c r="AB59" s="401" t="s">
        <v>1054</v>
      </c>
      <c r="AC59" s="402" t="s">
        <v>1054</v>
      </c>
      <c r="AD59" s="402" t="s">
        <v>1054</v>
      </c>
      <c r="AE59" s="403">
        <v>9999</v>
      </c>
      <c r="AF59" s="404">
        <v>0</v>
      </c>
      <c r="AG59" s="409"/>
      <c r="AH59" s="445">
        <v>23</v>
      </c>
      <c r="AI59" s="405">
        <f>IF(N($AH59)&gt;0,VLOOKUP($AH59,Body!$A$4:$F$259,5,0),"")</f>
        <v>57.379394531249993</v>
      </c>
      <c r="AJ59" s="406">
        <f>IF(N($AH59)&gt;0,VLOOKUP($AH59,Body!$A$4:$F$259,6,0),"")</f>
        <v>0</v>
      </c>
      <c r="AK59" s="405">
        <f>IF(N($AH59)&gt;0,VLOOKUP($AH59,Body!$A$4:$F$259,2,0),"")</f>
        <v>1.5625</v>
      </c>
      <c r="AL59" s="407" t="str">
        <f t="shared" si="23"/>
        <v>49 SK Španielka Řepy - Řezník Alois</v>
      </c>
      <c r="AM59" s="408">
        <f t="shared" si="24"/>
        <v>2.5470000000000002</v>
      </c>
      <c r="AN59" s="334">
        <f>IF(OR(TYPE(I59)&gt;1,TYPE(MATCH(I59,I60:I$139,0))&gt;1),0,MATCH(I59,I60:I$139,0))+IF(OR(TYPE(I59)&gt;1,TYPE(MATCH(I59,O$11:O$139,0))&gt;1),0,MATCH(I59,O$11:O$139,0))+IF(OR(TYPE(I59)&gt;1,TYPE(MATCH(I59,U$11:U$139,0))&gt;1),0,MATCH(I59,U$11:U$139,0))+IF(OR(TYPE(I59)&gt;1,TYPE(MATCH(I59,AA$11:AA$139,0))&gt;1),0,MATCH(I59,AA$11:AA$139,0))</f>
        <v>0</v>
      </c>
      <c r="AO59" s="334">
        <f>IF(OR(TYPE(O59)&gt;1,TYPE(MATCH(O59,I$11:I$139,0))&gt;1),0,MATCH(O59,I$11:I$139,0))+IF(OR(TYPE(O59)&gt;1,TYPE(MATCH(O59,O60:O$139,0))&gt;1),0,MATCH(O59,O60:O$139,0))+IF(OR(TYPE(O59)&gt;1,TYPE(MATCH(O59,U$11:U$139,0))&gt;1),0,MATCH(O59,U$11:U$139,0))+IF(OR(TYPE(O59)&gt;1,TYPE(MATCH(O59,AA$11:AA$139,0))&gt;1),0,MATCH(O59,AA$11:AA$139,0))</f>
        <v>0</v>
      </c>
      <c r="AP59" s="334">
        <f>IF(OR(TYPE(U59)&gt;1,TYPE(MATCH(U59,I$11:I$139,0))&gt;1),0,MATCH(U59,I$11:I$139,0))+IF(OR(TYPE(U59)&gt;1,TYPE(MATCH(U59,O$11:O$139,0))&gt;1),0,MATCH(U59,O$11:O$139,0))+IF(OR(TYPE(U59)&gt;1,TYPE(MATCH(U59,U60:U$139,0))&gt;1),0,MATCH(U59,U60:U$139,0))+IF(OR(TYPE(U59)&gt;1,TYPE(MATCH(U59,AA$11:AA$139,0))&gt;1),0,MATCH(U59,AA$11:AA$139,0))</f>
        <v>0</v>
      </c>
      <c r="AQ59" s="334">
        <f>IF(OR(TYPE(AA59)&gt;1,TYPE(MATCH(AA59,I$11:I$139,0))&gt;1),0,MATCH(AA59,I$11:I$139,0))+IF(OR(TYPE(AA59)&gt;1,TYPE(MATCH(AA59,O$11:O$139,0))&gt;1),0,MATCH(AA59,O$11:O$139,0))+IF(OR(TYPE(AA59)&gt;1,TYPE(MATCH(AA59,U$11:U$139,0))&gt;1),0,MATCH(U59,U$11:U$139,0))+IF(OR(TYPE(AA59)&gt;1,TYPE(MATCH(AA59,AA60:AA$139,0))&gt;1),0,MATCH(AA59,AA60:AA$139,0))</f>
        <v>0</v>
      </c>
      <c r="AR59" s="334">
        <f t="shared" si="25"/>
        <v>0</v>
      </c>
      <c r="AT59" s="333">
        <f t="shared" si="26"/>
        <v>1</v>
      </c>
      <c r="AU59" s="333">
        <f>IF(AND(N(I59)&gt;0,TYPE(VLOOKUP(I59,Hraci!$A$5:$A$800,1,0))&gt;3),1,0) + IF(AND(N(O59)&gt;0,TYPE(VLOOKUP(O59,Hraci!$A$5:$A$800,1,0))&gt;3),1,0) + IF(AND(N(U59)&gt;0,TYPE(VLOOKUP(U59,Hraci!$A$5:$A$800,1,0))&gt;3),1,0)</f>
        <v>2</v>
      </c>
      <c r="BF59" s="334">
        <f t="shared" si="14"/>
        <v>49</v>
      </c>
    </row>
    <row r="60" spans="1:58" ht="14.25" x14ac:dyDescent="0.3">
      <c r="A60" s="358">
        <f t="shared" si="15"/>
        <v>2</v>
      </c>
      <c r="B60" s="358">
        <f t="shared" si="16"/>
        <v>1</v>
      </c>
      <c r="C60" s="358">
        <f t="shared" si="17"/>
        <v>0.76600000000000001</v>
      </c>
      <c r="D60" s="358">
        <f t="shared" si="18"/>
        <v>11431</v>
      </c>
      <c r="E60" s="358">
        <f t="shared" si="19"/>
        <v>526</v>
      </c>
      <c r="F60" s="359" t="str">
        <f t="shared" ca="1" si="20"/>
        <v>91000766988568999473300529</v>
      </c>
      <c r="G60" s="398" t="b">
        <f t="shared" si="21"/>
        <v>0</v>
      </c>
      <c r="H60" s="399">
        <f t="shared" si="22"/>
        <v>50</v>
      </c>
      <c r="I60" s="400">
        <v>16068</v>
      </c>
      <c r="J60" s="401" t="s">
        <v>1706</v>
      </c>
      <c r="K60" s="402" t="s">
        <v>371</v>
      </c>
      <c r="L60" s="402" t="s">
        <v>1441</v>
      </c>
      <c r="M60" s="403">
        <v>906</v>
      </c>
      <c r="N60" s="404">
        <v>0</v>
      </c>
      <c r="O60" s="400">
        <v>16076</v>
      </c>
      <c r="P60" s="401" t="s">
        <v>1508</v>
      </c>
      <c r="Q60" s="402" t="s">
        <v>36</v>
      </c>
      <c r="R60" s="402" t="s">
        <v>1441</v>
      </c>
      <c r="S60" s="403">
        <v>526</v>
      </c>
      <c r="T60" s="404">
        <v>0.76600000000000001</v>
      </c>
      <c r="U60" s="400" t="s">
        <v>2005</v>
      </c>
      <c r="V60" s="401" t="s">
        <v>1054</v>
      </c>
      <c r="W60" s="402" t="s">
        <v>1054</v>
      </c>
      <c r="X60" s="402" t="s">
        <v>1054</v>
      </c>
      <c r="Y60" s="403">
        <v>9999</v>
      </c>
      <c r="Z60" s="404">
        <v>0</v>
      </c>
      <c r="AA60" s="400" t="s">
        <v>2005</v>
      </c>
      <c r="AB60" s="401" t="s">
        <v>1054</v>
      </c>
      <c r="AC60" s="402" t="s">
        <v>1054</v>
      </c>
      <c r="AD60" s="402" t="s">
        <v>1054</v>
      </c>
      <c r="AE60" s="403">
        <v>9999</v>
      </c>
      <c r="AF60" s="404">
        <v>0</v>
      </c>
      <c r="AG60" s="409"/>
      <c r="AH60" s="445">
        <f ca="1">IF(TYPE(VLOOKUP(H60,Centrum!$A$3:$E$130,5,0))&lt;4,VLOOKUP(H60,Centrum!$A$3:$E$130,5,0),0)</f>
        <v>19</v>
      </c>
      <c r="AI60" s="405">
        <f ca="1">IF(N($AH60)&gt;0,VLOOKUP($AH60,Body!$A$4:$F$259,5,0),"")</f>
        <v>66.560097656249994</v>
      </c>
      <c r="AJ60" s="406">
        <f ca="1">IF(N($AH60)&gt;0,VLOOKUP($AH60,Body!$A$4:$F$259,6,0),"")</f>
        <v>0</v>
      </c>
      <c r="AK60" s="405">
        <f ca="1">IF(N($AH60)&gt;0,VLOOKUP($AH60,Body!$A$4:$F$259,2,0),"")</f>
        <v>1.8125</v>
      </c>
      <c r="AL60" s="407" t="str">
        <f t="shared" si="23"/>
        <v>50 SK Španielka Řepy - Čaněk Radovan</v>
      </c>
      <c r="AM60" s="408">
        <f t="shared" si="24"/>
        <v>0.76600000000000001</v>
      </c>
      <c r="AN60" s="334">
        <f>IF(OR(TYPE(I60)&gt;1,TYPE(MATCH(I60,I61:I$139,0))&gt;1),0,MATCH(I60,I61:I$139,0))+IF(OR(TYPE(I60)&gt;1,TYPE(MATCH(I60,O$11:O$139,0))&gt;1),0,MATCH(I60,O$11:O$139,0))+IF(OR(TYPE(I60)&gt;1,TYPE(MATCH(I60,U$11:U$139,0))&gt;1),0,MATCH(I60,U$11:U$139,0))+IF(OR(TYPE(I60)&gt;1,TYPE(MATCH(I60,AA$11:AA$139,0))&gt;1),0,MATCH(I60,AA$11:AA$139,0))</f>
        <v>0</v>
      </c>
      <c r="AO60" s="334">
        <f>IF(OR(TYPE(O60)&gt;1,TYPE(MATCH(O60,I$11:I$139,0))&gt;1),0,MATCH(O60,I$11:I$139,0))+IF(OR(TYPE(O60)&gt;1,TYPE(MATCH(O60,O61:O$139,0))&gt;1),0,MATCH(O60,O61:O$139,0))+IF(OR(TYPE(O60)&gt;1,TYPE(MATCH(O60,U$11:U$139,0))&gt;1),0,MATCH(O60,U$11:U$139,0))+IF(OR(TYPE(O60)&gt;1,TYPE(MATCH(O60,AA$11:AA$139,0))&gt;1),0,MATCH(O60,AA$11:AA$139,0))</f>
        <v>0</v>
      </c>
      <c r="AP60" s="334">
        <f>IF(OR(TYPE(U60)&gt;1,TYPE(MATCH(U60,I$11:I$139,0))&gt;1),0,MATCH(U60,I$11:I$139,0))+IF(OR(TYPE(U60)&gt;1,TYPE(MATCH(U60,O$11:O$139,0))&gt;1),0,MATCH(U60,O$11:O$139,0))+IF(OR(TYPE(U60)&gt;1,TYPE(MATCH(U60,U61:U$139,0))&gt;1),0,MATCH(U60,U61:U$139,0))+IF(OR(TYPE(U60)&gt;1,TYPE(MATCH(U60,AA$11:AA$139,0))&gt;1),0,MATCH(U60,AA$11:AA$139,0))</f>
        <v>0</v>
      </c>
      <c r="AQ60" s="334">
        <f>IF(OR(TYPE(AA60)&gt;1,TYPE(MATCH(AA60,I$11:I$139,0))&gt;1),0,MATCH(AA60,I$11:I$139,0))+IF(OR(TYPE(AA60)&gt;1,TYPE(MATCH(AA60,O$11:O$139,0))&gt;1),0,MATCH(AA60,O$11:O$139,0))+IF(OR(TYPE(AA60)&gt;1,TYPE(MATCH(AA60,U$11:U$139,0))&gt;1),0,MATCH(U60,U$11:U$139,0))+IF(OR(TYPE(AA60)&gt;1,TYPE(MATCH(AA60,AA61:AA$139,0))&gt;1),0,MATCH(AA60,AA61:AA$139,0))</f>
        <v>0</v>
      </c>
      <c r="AR60" s="334">
        <f t="shared" si="25"/>
        <v>0</v>
      </c>
      <c r="AT60" s="333">
        <f t="shared" si="26"/>
        <v>0</v>
      </c>
      <c r="AU60" s="333">
        <f>IF(AND(N(I60)&gt;0,TYPE(VLOOKUP(I60,Hraci!$A$5:$A$800,1,0))&gt;3),1,0) + IF(AND(N(O60)&gt;0,TYPE(VLOOKUP(O60,Hraci!$A$5:$A$800,1,0))&gt;3),1,0) + IF(AND(N(U60)&gt;0,TYPE(VLOOKUP(U60,Hraci!$A$5:$A$800,1,0))&gt;3),1,0)</f>
        <v>1</v>
      </c>
      <c r="BF60" s="334">
        <f t="shared" si="14"/>
        <v>50</v>
      </c>
    </row>
    <row r="61" spans="1:58" ht="14.25" x14ac:dyDescent="0.3">
      <c r="A61" s="358">
        <f t="shared" si="15"/>
        <v>2</v>
      </c>
      <c r="B61" s="358">
        <f t="shared" si="16"/>
        <v>1</v>
      </c>
      <c r="C61" s="358">
        <f t="shared" si="17"/>
        <v>0.65600000000000003</v>
      </c>
      <c r="D61" s="358">
        <f t="shared" si="18"/>
        <v>20643</v>
      </c>
      <c r="E61" s="358">
        <f t="shared" si="19"/>
        <v>645</v>
      </c>
      <c r="F61" s="359" t="str">
        <f t="shared" ca="1" si="20"/>
        <v>91000656979356999354862587</v>
      </c>
      <c r="G61" s="398" t="b">
        <f t="shared" si="21"/>
        <v>0</v>
      </c>
      <c r="H61" s="399">
        <f t="shared" si="22"/>
        <v>51</v>
      </c>
      <c r="I61" s="400">
        <v>29054</v>
      </c>
      <c r="J61" s="401" t="s">
        <v>566</v>
      </c>
      <c r="K61" s="402" t="s">
        <v>16</v>
      </c>
      <c r="L61" s="402" t="s">
        <v>1142</v>
      </c>
      <c r="M61" s="403">
        <v>645</v>
      </c>
      <c r="N61" s="404">
        <v>0.65600000000000003</v>
      </c>
      <c r="O61" s="400" t="s">
        <v>2005</v>
      </c>
      <c r="P61" s="401" t="s">
        <v>2003</v>
      </c>
      <c r="Q61" s="402" t="s">
        <v>1054</v>
      </c>
      <c r="R61" s="402" t="s">
        <v>1054</v>
      </c>
      <c r="S61" s="403">
        <v>9999</v>
      </c>
      <c r="T61" s="404">
        <v>0</v>
      </c>
      <c r="U61" s="400" t="s">
        <v>2005</v>
      </c>
      <c r="V61" s="401" t="s">
        <v>1054</v>
      </c>
      <c r="W61" s="402" t="s">
        <v>1054</v>
      </c>
      <c r="X61" s="402" t="s">
        <v>1054</v>
      </c>
      <c r="Y61" s="403">
        <v>9999</v>
      </c>
      <c r="Z61" s="404">
        <v>0</v>
      </c>
      <c r="AA61" s="400" t="s">
        <v>2005</v>
      </c>
      <c r="AB61" s="401" t="s">
        <v>1054</v>
      </c>
      <c r="AC61" s="402" t="s">
        <v>1054</v>
      </c>
      <c r="AD61" s="402" t="s">
        <v>1054</v>
      </c>
      <c r="AE61" s="403">
        <v>9999</v>
      </c>
      <c r="AF61" s="404">
        <v>0</v>
      </c>
      <c r="AG61" s="409"/>
      <c r="AH61" s="445">
        <v>36</v>
      </c>
      <c r="AI61" s="405">
        <f>IF(N($AH61)&gt;0,VLOOKUP($AH61,Body!$A$4:$F$259,5,0),"")</f>
        <v>32.132460937499999</v>
      </c>
      <c r="AJ61" s="406">
        <f>IF(N($AH61)&gt;0,VLOOKUP($AH61,Body!$A$4:$F$259,6,0),"")</f>
        <v>0</v>
      </c>
      <c r="AK61" s="405">
        <f>IF(N($AH61)&gt;0,VLOOKUP($AH61,Body!$A$4:$F$259,2,0),"")</f>
        <v>0.875</v>
      </c>
      <c r="AL61" s="407" t="str">
        <f t="shared" si="23"/>
        <v>51 CdP Loděnice - Tyrol Pavel</v>
      </c>
      <c r="AM61" s="408">
        <f t="shared" si="24"/>
        <v>0.65600000000000003</v>
      </c>
      <c r="AN61" s="334">
        <f>IF(OR(TYPE(I61)&gt;1,TYPE(MATCH(I61,I62:I$139,0))&gt;1),0,MATCH(I61,I62:I$139,0))+IF(OR(TYPE(I61)&gt;1,TYPE(MATCH(I61,O$11:O$139,0))&gt;1),0,MATCH(I61,O$11:O$139,0))+IF(OR(TYPE(I61)&gt;1,TYPE(MATCH(I61,U$11:U$139,0))&gt;1),0,MATCH(I61,U$11:U$139,0))+IF(OR(TYPE(I61)&gt;1,TYPE(MATCH(I61,AA$11:AA$139,0))&gt;1),0,MATCH(I61,AA$11:AA$139,0))</f>
        <v>0</v>
      </c>
      <c r="AO61" s="334">
        <f>IF(OR(TYPE(O61)&gt;1,TYPE(MATCH(O61,I$11:I$139,0))&gt;1),0,MATCH(O61,I$11:I$139,0))+IF(OR(TYPE(O61)&gt;1,TYPE(MATCH(O61,O62:O$139,0))&gt;1),0,MATCH(O61,O62:O$139,0))+IF(OR(TYPE(O61)&gt;1,TYPE(MATCH(O61,U$11:U$139,0))&gt;1),0,MATCH(O61,U$11:U$139,0))+IF(OR(TYPE(O61)&gt;1,TYPE(MATCH(O61,AA$11:AA$139,0))&gt;1),0,MATCH(O61,AA$11:AA$139,0))</f>
        <v>0</v>
      </c>
      <c r="AP61" s="334">
        <f>IF(OR(TYPE(U61)&gt;1,TYPE(MATCH(U61,I$11:I$139,0))&gt;1),0,MATCH(U61,I$11:I$139,0))+IF(OR(TYPE(U61)&gt;1,TYPE(MATCH(U61,O$11:O$139,0))&gt;1),0,MATCH(U61,O$11:O$139,0))+IF(OR(TYPE(U61)&gt;1,TYPE(MATCH(U61,U62:U$139,0))&gt;1),0,MATCH(U61,U62:U$139,0))+IF(OR(TYPE(U61)&gt;1,TYPE(MATCH(U61,AA$11:AA$139,0))&gt;1),0,MATCH(U61,AA$11:AA$139,0))</f>
        <v>0</v>
      </c>
      <c r="AQ61" s="334">
        <f>IF(OR(TYPE(AA61)&gt;1,TYPE(MATCH(AA61,I$11:I$139,0))&gt;1),0,MATCH(AA61,I$11:I$139,0))+IF(OR(TYPE(AA61)&gt;1,TYPE(MATCH(AA61,O$11:O$139,0))&gt;1),0,MATCH(AA61,O$11:O$139,0))+IF(OR(TYPE(AA61)&gt;1,TYPE(MATCH(AA61,U$11:U$139,0))&gt;1),0,MATCH(U61,U$11:U$139,0))+IF(OR(TYPE(AA61)&gt;1,TYPE(MATCH(AA61,AA62:AA$139,0))&gt;1),0,MATCH(AA61,AA62:AA$139,0))</f>
        <v>0</v>
      </c>
      <c r="AR61" s="334">
        <f t="shared" si="25"/>
        <v>0</v>
      </c>
      <c r="AT61" s="333">
        <f t="shared" si="26"/>
        <v>0</v>
      </c>
      <c r="AU61" s="333">
        <f>IF(AND(N(I61)&gt;0,TYPE(VLOOKUP(I61,Hraci!$A$5:$A$800,1,0))&gt;3),1,0) + IF(AND(N(O61)&gt;0,TYPE(VLOOKUP(O61,Hraci!$A$5:$A$800,1,0))&gt;3),1,0) + IF(AND(N(U61)&gt;0,TYPE(VLOOKUP(U61,Hraci!$A$5:$A$800,1,0))&gt;3),1,0)</f>
        <v>0</v>
      </c>
      <c r="BF61" s="334">
        <f t="shared" si="14"/>
        <v>51</v>
      </c>
    </row>
    <row r="62" spans="1:58" ht="14.25" x14ac:dyDescent="0.3">
      <c r="A62" s="358">
        <f t="shared" si="15"/>
        <v>0</v>
      </c>
      <c r="B62" s="358">
        <f t="shared" si="16"/>
        <v>0</v>
      </c>
      <c r="C62" s="358">
        <f t="shared" si="17"/>
        <v>0</v>
      </c>
      <c r="D62" s="358">
        <f t="shared" si="18"/>
        <v>99999</v>
      </c>
      <c r="E62" s="358">
        <f t="shared" si="19"/>
        <v>9999</v>
      </c>
      <c r="F62" s="359" t="str">
        <f t="shared" ca="1" si="20"/>
        <v>90000000900000990000332144</v>
      </c>
      <c r="G62" s="398" t="b">
        <f t="shared" si="21"/>
        <v>1</v>
      </c>
      <c r="H62" s="399">
        <f t="shared" si="22"/>
        <v>52</v>
      </c>
      <c r="I62" s="400" t="s">
        <v>2005</v>
      </c>
      <c r="J62" s="401" t="s">
        <v>1054</v>
      </c>
      <c r="K62" s="402" t="s">
        <v>1054</v>
      </c>
      <c r="L62" s="402" t="s">
        <v>1054</v>
      </c>
      <c r="M62" s="403">
        <v>9999</v>
      </c>
      <c r="N62" s="404">
        <v>0</v>
      </c>
      <c r="O62" s="400" t="s">
        <v>2005</v>
      </c>
      <c r="P62" s="401" t="s">
        <v>1054</v>
      </c>
      <c r="Q62" s="402" t="s">
        <v>1054</v>
      </c>
      <c r="R62" s="402" t="s">
        <v>1054</v>
      </c>
      <c r="S62" s="403">
        <v>9999</v>
      </c>
      <c r="T62" s="404">
        <v>0</v>
      </c>
      <c r="U62" s="400" t="s">
        <v>2005</v>
      </c>
      <c r="V62" s="401" t="s">
        <v>1054</v>
      </c>
      <c r="W62" s="402" t="s">
        <v>1054</v>
      </c>
      <c r="X62" s="402" t="s">
        <v>1054</v>
      </c>
      <c r="Y62" s="403">
        <v>9999</v>
      </c>
      <c r="Z62" s="404">
        <v>0</v>
      </c>
      <c r="AA62" s="400" t="s">
        <v>2005</v>
      </c>
      <c r="AB62" s="401" t="s">
        <v>1054</v>
      </c>
      <c r="AC62" s="402" t="s">
        <v>1054</v>
      </c>
      <c r="AD62" s="402" t="s">
        <v>1054</v>
      </c>
      <c r="AE62" s="403">
        <v>9999</v>
      </c>
      <c r="AF62" s="404">
        <v>0</v>
      </c>
      <c r="AG62" s="409"/>
      <c r="AH62" s="445">
        <f>IF(TYPE(VLOOKUP(H62,Centrum!$A$3:$E$130,5,0))&lt;4,VLOOKUP(H62,Centrum!$A$3:$E$130,5,0),0)</f>
        <v>0</v>
      </c>
      <c r="AI62" s="405" t="str">
        <f>IF(N($AH62)&gt;0,VLOOKUP($AH62,Body!$A$4:$F$259,5,0),"")</f>
        <v/>
      </c>
      <c r="AJ62" s="406" t="str">
        <f>IF(N($AH62)&gt;0,VLOOKUP($AH62,Body!$A$4:$F$259,6,0),"")</f>
        <v/>
      </c>
      <c r="AK62" s="405" t="str">
        <f>IF(N($AH62)&gt;0,VLOOKUP($AH62,Body!$A$4:$F$259,2,0),"")</f>
        <v/>
      </c>
      <c r="AL62" s="407" t="str">
        <f t="shared" si="23"/>
        <v/>
      </c>
      <c r="AM62" s="408">
        <f t="shared" si="24"/>
        <v>0</v>
      </c>
      <c r="AN62" s="334">
        <f>IF(OR(TYPE(I62)&gt;1,TYPE(MATCH(I62,I63:I$139,0))&gt;1),0,MATCH(I62,I63:I$139,0))+IF(OR(TYPE(I62)&gt;1,TYPE(MATCH(I62,O$11:O$139,0))&gt;1),0,MATCH(I62,O$11:O$139,0))+IF(OR(TYPE(I62)&gt;1,TYPE(MATCH(I62,U$11:U$139,0))&gt;1),0,MATCH(I62,U$11:U$139,0))+IF(OR(TYPE(I62)&gt;1,TYPE(MATCH(I62,AA$11:AA$139,0))&gt;1),0,MATCH(I62,AA$11:AA$139,0))</f>
        <v>0</v>
      </c>
      <c r="AO62" s="334">
        <f>IF(OR(TYPE(O62)&gt;1,TYPE(MATCH(O62,I$11:I$139,0))&gt;1),0,MATCH(O62,I$11:I$139,0))+IF(OR(TYPE(O62)&gt;1,TYPE(MATCH(O62,O63:O$139,0))&gt;1),0,MATCH(O62,O63:O$139,0))+IF(OR(TYPE(O62)&gt;1,TYPE(MATCH(O62,U$11:U$139,0))&gt;1),0,MATCH(O62,U$11:U$139,0))+IF(OR(TYPE(O62)&gt;1,TYPE(MATCH(O62,AA$11:AA$139,0))&gt;1),0,MATCH(O62,AA$11:AA$139,0))</f>
        <v>0</v>
      </c>
      <c r="AP62" s="334">
        <f>IF(OR(TYPE(U62)&gt;1,TYPE(MATCH(U62,I$11:I$139,0))&gt;1),0,MATCH(U62,I$11:I$139,0))+IF(OR(TYPE(U62)&gt;1,TYPE(MATCH(U62,O$11:O$139,0))&gt;1),0,MATCH(U62,O$11:O$139,0))+IF(OR(TYPE(U62)&gt;1,TYPE(MATCH(U62,U63:U$139,0))&gt;1),0,MATCH(U62,U63:U$139,0))+IF(OR(TYPE(U62)&gt;1,TYPE(MATCH(U62,AA$11:AA$139,0))&gt;1),0,MATCH(U62,AA$11:AA$139,0))</f>
        <v>0</v>
      </c>
      <c r="AQ62" s="334">
        <f>IF(OR(TYPE(AA62)&gt;1,TYPE(MATCH(AA62,I$11:I$139,0))&gt;1),0,MATCH(AA62,I$11:I$139,0))+IF(OR(TYPE(AA62)&gt;1,TYPE(MATCH(AA62,O$11:O$139,0))&gt;1),0,MATCH(AA62,O$11:O$139,0))+IF(OR(TYPE(AA62)&gt;1,TYPE(MATCH(AA62,U$11:U$139,0))&gt;1),0,MATCH(U62,U$11:U$139,0))+IF(OR(TYPE(AA62)&gt;1,TYPE(MATCH(AA62,AA63:AA$139,0))&gt;1),0,MATCH(AA62,AA63:AA$139,0))</f>
        <v>0</v>
      </c>
      <c r="AR62" s="334">
        <f t="shared" si="25"/>
        <v>0</v>
      </c>
      <c r="AT62" s="333">
        <f t="shared" si="26"/>
        <v>0</v>
      </c>
      <c r="AU62" s="333">
        <f>IF(AND(N(I62)&gt;0,TYPE(VLOOKUP(I62,Hraci!$A$5:$A$800,1,0))&gt;3),1,0) + IF(AND(N(O62)&gt;0,TYPE(VLOOKUP(O62,Hraci!$A$5:$A$800,1,0))&gt;3),1,0) + IF(AND(N(U62)&gt;0,TYPE(VLOOKUP(U62,Hraci!$A$5:$A$800,1,0))&gt;3),1,0)</f>
        <v>0</v>
      </c>
      <c r="BF62" s="334">
        <f t="shared" si="14"/>
        <v>52</v>
      </c>
    </row>
    <row r="63" spans="1:58" ht="14.25" x14ac:dyDescent="0.3">
      <c r="A63" s="358">
        <f t="shared" si="15"/>
        <v>0</v>
      </c>
      <c r="B63" s="358">
        <f t="shared" si="16"/>
        <v>0</v>
      </c>
      <c r="C63" s="358">
        <f t="shared" si="17"/>
        <v>0</v>
      </c>
      <c r="D63" s="358">
        <f t="shared" si="18"/>
        <v>99999</v>
      </c>
      <c r="E63" s="358">
        <f t="shared" si="19"/>
        <v>9999</v>
      </c>
      <c r="F63" s="359" t="str">
        <f t="shared" ca="1" si="20"/>
        <v>90000000900000990000945842</v>
      </c>
      <c r="G63" s="398" t="b">
        <f t="shared" si="21"/>
        <v>1</v>
      </c>
      <c r="H63" s="399">
        <f t="shared" si="22"/>
        <v>53</v>
      </c>
      <c r="I63" s="400" t="s">
        <v>2005</v>
      </c>
      <c r="J63" s="401" t="s">
        <v>1054</v>
      </c>
      <c r="K63" s="402" t="s">
        <v>1054</v>
      </c>
      <c r="L63" s="402" t="s">
        <v>1054</v>
      </c>
      <c r="M63" s="403">
        <v>9999</v>
      </c>
      <c r="N63" s="404">
        <v>0</v>
      </c>
      <c r="O63" s="400" t="s">
        <v>2005</v>
      </c>
      <c r="P63" s="401" t="s">
        <v>1054</v>
      </c>
      <c r="Q63" s="402" t="s">
        <v>1054</v>
      </c>
      <c r="R63" s="402" t="s">
        <v>1054</v>
      </c>
      <c r="S63" s="403">
        <v>9999</v>
      </c>
      <c r="T63" s="404">
        <v>0</v>
      </c>
      <c r="U63" s="400" t="s">
        <v>2005</v>
      </c>
      <c r="V63" s="401" t="s">
        <v>1054</v>
      </c>
      <c r="W63" s="402" t="s">
        <v>1054</v>
      </c>
      <c r="X63" s="402" t="s">
        <v>1054</v>
      </c>
      <c r="Y63" s="403">
        <v>9999</v>
      </c>
      <c r="Z63" s="404">
        <v>0</v>
      </c>
      <c r="AA63" s="400" t="s">
        <v>2005</v>
      </c>
      <c r="AB63" s="401" t="s">
        <v>1054</v>
      </c>
      <c r="AC63" s="402" t="s">
        <v>1054</v>
      </c>
      <c r="AD63" s="402" t="s">
        <v>1054</v>
      </c>
      <c r="AE63" s="403">
        <v>9999</v>
      </c>
      <c r="AF63" s="404">
        <v>0</v>
      </c>
      <c r="AG63" s="409"/>
      <c r="AH63" s="445">
        <f>IF(TYPE(VLOOKUP(H63,Centrum!$A$3:$E$130,5,0))&lt;4,VLOOKUP(H63,Centrum!$A$3:$E$130,5,0),0)</f>
        <v>0</v>
      </c>
      <c r="AI63" s="405" t="str">
        <f>IF(N($AH63)&gt;0,VLOOKUP($AH63,Body!$A$4:$F$259,5,0),"")</f>
        <v/>
      </c>
      <c r="AJ63" s="406" t="str">
        <f>IF(N($AH63)&gt;0,VLOOKUP($AH63,Body!$A$4:$F$259,6,0),"")</f>
        <v/>
      </c>
      <c r="AK63" s="405" t="str">
        <f>IF(N($AH63)&gt;0,VLOOKUP($AH63,Body!$A$4:$F$259,2,0),"")</f>
        <v/>
      </c>
      <c r="AL63" s="407" t="str">
        <f t="shared" si="23"/>
        <v/>
      </c>
      <c r="AM63" s="408">
        <f t="shared" si="24"/>
        <v>0</v>
      </c>
      <c r="AN63" s="334">
        <f>IF(OR(TYPE(I63)&gt;1,TYPE(MATCH(I63,I64:I$139,0))&gt;1),0,MATCH(I63,I64:I$139,0))+IF(OR(TYPE(I63)&gt;1,TYPE(MATCH(I63,O$11:O$139,0))&gt;1),0,MATCH(I63,O$11:O$139,0))+IF(OR(TYPE(I63)&gt;1,TYPE(MATCH(I63,U$11:U$139,0))&gt;1),0,MATCH(I63,U$11:U$139,0))+IF(OR(TYPE(I63)&gt;1,TYPE(MATCH(I63,AA$11:AA$139,0))&gt;1),0,MATCH(I63,AA$11:AA$139,0))</f>
        <v>0</v>
      </c>
      <c r="AO63" s="334">
        <f>IF(OR(TYPE(O63)&gt;1,TYPE(MATCH(O63,I$11:I$139,0))&gt;1),0,MATCH(O63,I$11:I$139,0))+IF(OR(TYPE(O63)&gt;1,TYPE(MATCH(O63,O64:O$139,0))&gt;1),0,MATCH(O63,O64:O$139,0))+IF(OR(TYPE(O63)&gt;1,TYPE(MATCH(O63,U$11:U$139,0))&gt;1),0,MATCH(O63,U$11:U$139,0))+IF(OR(TYPE(O63)&gt;1,TYPE(MATCH(O63,AA$11:AA$139,0))&gt;1),0,MATCH(O63,AA$11:AA$139,0))</f>
        <v>0</v>
      </c>
      <c r="AP63" s="334">
        <f>IF(OR(TYPE(U63)&gt;1,TYPE(MATCH(U63,I$11:I$139,0))&gt;1),0,MATCH(U63,I$11:I$139,0))+IF(OR(TYPE(U63)&gt;1,TYPE(MATCH(U63,O$11:O$139,0))&gt;1),0,MATCH(U63,O$11:O$139,0))+IF(OR(TYPE(U63)&gt;1,TYPE(MATCH(U63,U64:U$139,0))&gt;1),0,MATCH(U63,U64:U$139,0))+IF(OR(TYPE(U63)&gt;1,TYPE(MATCH(U63,AA$11:AA$139,0))&gt;1),0,MATCH(U63,AA$11:AA$139,0))</f>
        <v>0</v>
      </c>
      <c r="AQ63" s="334">
        <f>IF(OR(TYPE(AA63)&gt;1,TYPE(MATCH(AA63,I$11:I$139,0))&gt;1),0,MATCH(AA63,I$11:I$139,0))+IF(OR(TYPE(AA63)&gt;1,TYPE(MATCH(AA63,O$11:O$139,0))&gt;1),0,MATCH(AA63,O$11:O$139,0))+IF(OR(TYPE(AA63)&gt;1,TYPE(MATCH(AA63,U$11:U$139,0))&gt;1),0,MATCH(U63,U$11:U$139,0))+IF(OR(TYPE(AA63)&gt;1,TYPE(MATCH(AA63,AA64:AA$139,0))&gt;1),0,MATCH(AA63,AA64:AA$139,0))</f>
        <v>0</v>
      </c>
      <c r="AR63" s="334">
        <f t="shared" si="25"/>
        <v>0</v>
      </c>
      <c r="AT63" s="333">
        <f t="shared" si="26"/>
        <v>0</v>
      </c>
      <c r="AU63" s="333">
        <f>IF(AND(N(I63)&gt;0,TYPE(VLOOKUP(I63,Hraci!$A$5:$A$800,1,0))&gt;3),1,0) + IF(AND(N(O63)&gt;0,TYPE(VLOOKUP(O63,Hraci!$A$5:$A$800,1,0))&gt;3),1,0) + IF(AND(N(U63)&gt;0,TYPE(VLOOKUP(U63,Hraci!$A$5:$A$800,1,0))&gt;3),1,0)</f>
        <v>0</v>
      </c>
      <c r="BF63" s="334">
        <f t="shared" si="14"/>
        <v>53</v>
      </c>
    </row>
    <row r="64" spans="1:58" ht="14.25" x14ac:dyDescent="0.3">
      <c r="A64" s="358">
        <f t="shared" si="15"/>
        <v>0</v>
      </c>
      <c r="B64" s="358">
        <f t="shared" si="16"/>
        <v>0</v>
      </c>
      <c r="C64" s="358">
        <f t="shared" si="17"/>
        <v>0</v>
      </c>
      <c r="D64" s="358">
        <f t="shared" si="18"/>
        <v>99999</v>
      </c>
      <c r="E64" s="358">
        <f t="shared" si="19"/>
        <v>9999</v>
      </c>
      <c r="F64" s="359" t="str">
        <f t="shared" ca="1" si="20"/>
        <v>90000000900000990000328160</v>
      </c>
      <c r="G64" s="398" t="b">
        <f t="shared" si="21"/>
        <v>1</v>
      </c>
      <c r="H64" s="399">
        <f t="shared" si="22"/>
        <v>54</v>
      </c>
      <c r="I64" s="400" t="s">
        <v>2005</v>
      </c>
      <c r="J64" s="401" t="s">
        <v>1054</v>
      </c>
      <c r="K64" s="402" t="s">
        <v>1054</v>
      </c>
      <c r="L64" s="402" t="s">
        <v>1054</v>
      </c>
      <c r="M64" s="403">
        <v>9999</v>
      </c>
      <c r="N64" s="404">
        <v>0</v>
      </c>
      <c r="O64" s="400" t="s">
        <v>2005</v>
      </c>
      <c r="P64" s="401" t="s">
        <v>1054</v>
      </c>
      <c r="Q64" s="402" t="s">
        <v>1054</v>
      </c>
      <c r="R64" s="402" t="s">
        <v>1054</v>
      </c>
      <c r="S64" s="403">
        <v>9999</v>
      </c>
      <c r="T64" s="404">
        <v>0</v>
      </c>
      <c r="U64" s="400" t="s">
        <v>2005</v>
      </c>
      <c r="V64" s="401" t="s">
        <v>1054</v>
      </c>
      <c r="W64" s="402" t="s">
        <v>1054</v>
      </c>
      <c r="X64" s="402" t="s">
        <v>1054</v>
      </c>
      <c r="Y64" s="403">
        <v>9999</v>
      </c>
      <c r="Z64" s="404">
        <v>0</v>
      </c>
      <c r="AA64" s="400" t="s">
        <v>2005</v>
      </c>
      <c r="AB64" s="401" t="s">
        <v>1054</v>
      </c>
      <c r="AC64" s="402" t="s">
        <v>1054</v>
      </c>
      <c r="AD64" s="402" t="s">
        <v>1054</v>
      </c>
      <c r="AE64" s="403">
        <v>9999</v>
      </c>
      <c r="AF64" s="404">
        <v>0</v>
      </c>
      <c r="AG64" s="409"/>
      <c r="AH64" s="445">
        <f>IF(TYPE(VLOOKUP(H64,Centrum!$A$3:$E$130,5,0))&lt;4,VLOOKUP(H64,Centrum!$A$3:$E$130,5,0),0)</f>
        <v>0</v>
      </c>
      <c r="AI64" s="405" t="str">
        <f>IF(N($AH64)&gt;0,VLOOKUP($AH64,Body!$A$4:$F$259,5,0),"")</f>
        <v/>
      </c>
      <c r="AJ64" s="406" t="str">
        <f>IF(N($AH64)&gt;0,VLOOKUP($AH64,Body!$A$4:$F$259,6,0),"")</f>
        <v/>
      </c>
      <c r="AK64" s="405" t="str">
        <f>IF(N($AH64)&gt;0,VLOOKUP($AH64,Body!$A$4:$F$259,2,0),"")</f>
        <v/>
      </c>
      <c r="AL64" s="407" t="str">
        <f t="shared" si="23"/>
        <v/>
      </c>
      <c r="AM64" s="408">
        <f t="shared" si="24"/>
        <v>0</v>
      </c>
      <c r="AN64" s="334">
        <f>IF(OR(TYPE(I64)&gt;1,TYPE(MATCH(I64,I65:I$139,0))&gt;1),0,MATCH(I64,I65:I$139,0))+IF(OR(TYPE(I64)&gt;1,TYPE(MATCH(I64,O$11:O$139,0))&gt;1),0,MATCH(I64,O$11:O$139,0))+IF(OR(TYPE(I64)&gt;1,TYPE(MATCH(I64,U$11:U$139,0))&gt;1),0,MATCH(I64,U$11:U$139,0))+IF(OR(TYPE(I64)&gt;1,TYPE(MATCH(I64,AA$11:AA$139,0))&gt;1),0,MATCH(I64,AA$11:AA$139,0))</f>
        <v>0</v>
      </c>
      <c r="AO64" s="334">
        <f>IF(OR(TYPE(O64)&gt;1,TYPE(MATCH(O64,I$11:I$139,0))&gt;1),0,MATCH(O64,I$11:I$139,0))+IF(OR(TYPE(O64)&gt;1,TYPE(MATCH(O64,O65:O$139,0))&gt;1),0,MATCH(O64,O65:O$139,0))+IF(OR(TYPE(O64)&gt;1,TYPE(MATCH(O64,U$11:U$139,0))&gt;1),0,MATCH(O64,U$11:U$139,0))+IF(OR(TYPE(O64)&gt;1,TYPE(MATCH(O64,AA$11:AA$139,0))&gt;1),0,MATCH(O64,AA$11:AA$139,0))</f>
        <v>0</v>
      </c>
      <c r="AP64" s="334">
        <f>IF(OR(TYPE(U64)&gt;1,TYPE(MATCH(U64,I$11:I$139,0))&gt;1),0,MATCH(U64,I$11:I$139,0))+IF(OR(TYPE(U64)&gt;1,TYPE(MATCH(U64,O$11:O$139,0))&gt;1),0,MATCH(U64,O$11:O$139,0))+IF(OR(TYPE(U64)&gt;1,TYPE(MATCH(U64,U65:U$139,0))&gt;1),0,MATCH(U64,U65:U$139,0))+IF(OR(TYPE(U64)&gt;1,TYPE(MATCH(U64,AA$11:AA$139,0))&gt;1),0,MATCH(U64,AA$11:AA$139,0))</f>
        <v>0</v>
      </c>
      <c r="AQ64" s="334">
        <f>IF(OR(TYPE(AA64)&gt;1,TYPE(MATCH(AA64,I$11:I$139,0))&gt;1),0,MATCH(AA64,I$11:I$139,0))+IF(OR(TYPE(AA64)&gt;1,TYPE(MATCH(AA64,O$11:O$139,0))&gt;1),0,MATCH(AA64,O$11:O$139,0))+IF(OR(TYPE(AA64)&gt;1,TYPE(MATCH(AA64,U$11:U$139,0))&gt;1),0,MATCH(U64,U$11:U$139,0))+IF(OR(TYPE(AA64)&gt;1,TYPE(MATCH(AA64,AA65:AA$139,0))&gt;1),0,MATCH(AA64,AA65:AA$139,0))</f>
        <v>0</v>
      </c>
      <c r="AR64" s="334">
        <f t="shared" si="25"/>
        <v>0</v>
      </c>
      <c r="AT64" s="333">
        <f t="shared" si="26"/>
        <v>0</v>
      </c>
      <c r="AU64" s="333">
        <f>IF(AND(N(I64)&gt;0,TYPE(VLOOKUP(I64,Hraci!$A$5:$A$800,1,0))&gt;3),1,0) + IF(AND(N(O64)&gt;0,TYPE(VLOOKUP(O64,Hraci!$A$5:$A$800,1,0))&gt;3),1,0) + IF(AND(N(U64)&gt;0,TYPE(VLOOKUP(U64,Hraci!$A$5:$A$800,1,0))&gt;3),1,0)</f>
        <v>0</v>
      </c>
      <c r="BF64" s="334">
        <f t="shared" si="14"/>
        <v>54</v>
      </c>
    </row>
    <row r="65" spans="1:58" ht="14.25" x14ac:dyDescent="0.3">
      <c r="A65" s="358">
        <f t="shared" si="15"/>
        <v>0</v>
      </c>
      <c r="B65" s="358">
        <f t="shared" si="16"/>
        <v>0</v>
      </c>
      <c r="C65" s="358">
        <f t="shared" si="17"/>
        <v>0</v>
      </c>
      <c r="D65" s="358">
        <f t="shared" si="18"/>
        <v>99999</v>
      </c>
      <c r="E65" s="358">
        <f t="shared" si="19"/>
        <v>9999</v>
      </c>
      <c r="F65" s="359" t="str">
        <f t="shared" ca="1" si="20"/>
        <v>90000000900000990000194828</v>
      </c>
      <c r="G65" s="398" t="b">
        <f t="shared" si="21"/>
        <v>1</v>
      </c>
      <c r="H65" s="399">
        <f t="shared" si="22"/>
        <v>55</v>
      </c>
      <c r="I65" s="400" t="s">
        <v>2005</v>
      </c>
      <c r="J65" s="401" t="s">
        <v>1054</v>
      </c>
      <c r="K65" s="402" t="s">
        <v>1054</v>
      </c>
      <c r="L65" s="402" t="s">
        <v>1054</v>
      </c>
      <c r="M65" s="403">
        <v>9999</v>
      </c>
      <c r="N65" s="404">
        <v>0</v>
      </c>
      <c r="O65" s="400" t="s">
        <v>2005</v>
      </c>
      <c r="P65" s="401" t="s">
        <v>1054</v>
      </c>
      <c r="Q65" s="402" t="s">
        <v>1054</v>
      </c>
      <c r="R65" s="402" t="s">
        <v>1054</v>
      </c>
      <c r="S65" s="403">
        <v>9999</v>
      </c>
      <c r="T65" s="404">
        <v>0</v>
      </c>
      <c r="U65" s="400" t="s">
        <v>2005</v>
      </c>
      <c r="V65" s="401" t="s">
        <v>1054</v>
      </c>
      <c r="W65" s="402" t="s">
        <v>1054</v>
      </c>
      <c r="X65" s="402" t="s">
        <v>1054</v>
      </c>
      <c r="Y65" s="403">
        <v>9999</v>
      </c>
      <c r="Z65" s="404">
        <v>0</v>
      </c>
      <c r="AA65" s="400" t="s">
        <v>2005</v>
      </c>
      <c r="AB65" s="401" t="s">
        <v>1054</v>
      </c>
      <c r="AC65" s="402" t="s">
        <v>1054</v>
      </c>
      <c r="AD65" s="402" t="s">
        <v>1054</v>
      </c>
      <c r="AE65" s="403">
        <v>9999</v>
      </c>
      <c r="AF65" s="404">
        <v>0</v>
      </c>
      <c r="AG65" s="409"/>
      <c r="AH65" s="445">
        <f>IF(TYPE(VLOOKUP(H65,Centrum!$A$3:$E$130,5,0))&lt;4,VLOOKUP(H65,Centrum!$A$3:$E$130,5,0),0)</f>
        <v>0</v>
      </c>
      <c r="AI65" s="405" t="str">
        <f>IF(N($AH65)&gt;0,VLOOKUP($AH65,Body!$A$4:$F$259,5,0),"")</f>
        <v/>
      </c>
      <c r="AJ65" s="406" t="str">
        <f>IF(N($AH65)&gt;0,VLOOKUP($AH65,Body!$A$4:$F$259,6,0),"")</f>
        <v/>
      </c>
      <c r="AK65" s="405" t="str">
        <f>IF(N($AH65)&gt;0,VLOOKUP($AH65,Body!$A$4:$F$259,2,0),"")</f>
        <v/>
      </c>
      <c r="AL65" s="407" t="str">
        <f t="shared" si="23"/>
        <v/>
      </c>
      <c r="AM65" s="408">
        <f t="shared" si="24"/>
        <v>0</v>
      </c>
      <c r="AN65" s="334">
        <f>IF(OR(TYPE(I65)&gt;1,TYPE(MATCH(I65,I66:I$139,0))&gt;1),0,MATCH(I65,I66:I$139,0))+IF(OR(TYPE(I65)&gt;1,TYPE(MATCH(I65,O$11:O$139,0))&gt;1),0,MATCH(I65,O$11:O$139,0))+IF(OR(TYPE(I65)&gt;1,TYPE(MATCH(I65,U$11:U$139,0))&gt;1),0,MATCH(I65,U$11:U$139,0))+IF(OR(TYPE(I65)&gt;1,TYPE(MATCH(I65,AA$11:AA$139,0))&gt;1),0,MATCH(I65,AA$11:AA$139,0))</f>
        <v>0</v>
      </c>
      <c r="AO65" s="334">
        <f>IF(OR(TYPE(O65)&gt;1,TYPE(MATCH(O65,I$11:I$139,0))&gt;1),0,MATCH(O65,I$11:I$139,0))+IF(OR(TYPE(O65)&gt;1,TYPE(MATCH(O65,O66:O$139,0))&gt;1),0,MATCH(O65,O66:O$139,0))+IF(OR(TYPE(O65)&gt;1,TYPE(MATCH(O65,U$11:U$139,0))&gt;1),0,MATCH(O65,U$11:U$139,0))+IF(OR(TYPE(O65)&gt;1,TYPE(MATCH(O65,AA$11:AA$139,0))&gt;1),0,MATCH(O65,AA$11:AA$139,0))</f>
        <v>0</v>
      </c>
      <c r="AP65" s="334">
        <f>IF(OR(TYPE(U65)&gt;1,TYPE(MATCH(U65,I$11:I$139,0))&gt;1),0,MATCH(U65,I$11:I$139,0))+IF(OR(TYPE(U65)&gt;1,TYPE(MATCH(U65,O$11:O$139,0))&gt;1),0,MATCH(U65,O$11:O$139,0))+IF(OR(TYPE(U65)&gt;1,TYPE(MATCH(U65,U66:U$139,0))&gt;1),0,MATCH(U65,U66:U$139,0))+IF(OR(TYPE(U65)&gt;1,TYPE(MATCH(U65,AA$11:AA$139,0))&gt;1),0,MATCH(U65,AA$11:AA$139,0))</f>
        <v>0</v>
      </c>
      <c r="AQ65" s="334">
        <f>IF(OR(TYPE(AA65)&gt;1,TYPE(MATCH(AA65,I$11:I$139,0))&gt;1),0,MATCH(AA65,I$11:I$139,0))+IF(OR(TYPE(AA65)&gt;1,TYPE(MATCH(AA65,O$11:O$139,0))&gt;1),0,MATCH(AA65,O$11:O$139,0))+IF(OR(TYPE(AA65)&gt;1,TYPE(MATCH(AA65,U$11:U$139,0))&gt;1),0,MATCH(U65,U$11:U$139,0))+IF(OR(TYPE(AA65)&gt;1,TYPE(MATCH(AA65,AA66:AA$139,0))&gt;1),0,MATCH(AA65,AA66:AA$139,0))</f>
        <v>0</v>
      </c>
      <c r="AR65" s="334">
        <f t="shared" si="25"/>
        <v>0</v>
      </c>
      <c r="AT65" s="333">
        <f t="shared" si="26"/>
        <v>0</v>
      </c>
      <c r="AU65" s="333">
        <f>IF(AND(N(I65)&gt;0,TYPE(VLOOKUP(I65,Hraci!$A$5:$A$800,1,0))&gt;3),1,0) + IF(AND(N(O65)&gt;0,TYPE(VLOOKUP(O65,Hraci!$A$5:$A$800,1,0))&gt;3),1,0) + IF(AND(N(U65)&gt;0,TYPE(VLOOKUP(U65,Hraci!$A$5:$A$800,1,0))&gt;3),1,0)</f>
        <v>0</v>
      </c>
      <c r="BF65" s="334">
        <f t="shared" si="14"/>
        <v>55</v>
      </c>
    </row>
    <row r="66" spans="1:58" ht="14.25" x14ac:dyDescent="0.3">
      <c r="A66" s="358">
        <f t="shared" si="15"/>
        <v>0</v>
      </c>
      <c r="B66" s="358">
        <f t="shared" si="16"/>
        <v>0</v>
      </c>
      <c r="C66" s="358">
        <f t="shared" si="17"/>
        <v>0</v>
      </c>
      <c r="D66" s="358">
        <f t="shared" si="18"/>
        <v>99999</v>
      </c>
      <c r="E66" s="358">
        <f t="shared" si="19"/>
        <v>9999</v>
      </c>
      <c r="F66" s="359" t="str">
        <f t="shared" ca="1" si="20"/>
        <v>90000000900000990000231773</v>
      </c>
      <c r="G66" s="398" t="b">
        <f t="shared" si="21"/>
        <v>1</v>
      </c>
      <c r="H66" s="399">
        <f t="shared" si="22"/>
        <v>56</v>
      </c>
      <c r="I66" s="400" t="s">
        <v>2005</v>
      </c>
      <c r="J66" s="401" t="s">
        <v>1054</v>
      </c>
      <c r="K66" s="402" t="s">
        <v>1054</v>
      </c>
      <c r="L66" s="402" t="s">
        <v>1054</v>
      </c>
      <c r="M66" s="403">
        <v>9999</v>
      </c>
      <c r="N66" s="404">
        <v>0</v>
      </c>
      <c r="O66" s="400" t="s">
        <v>2005</v>
      </c>
      <c r="P66" s="401" t="s">
        <v>1054</v>
      </c>
      <c r="Q66" s="402" t="s">
        <v>1054</v>
      </c>
      <c r="R66" s="402" t="s">
        <v>1054</v>
      </c>
      <c r="S66" s="403">
        <v>9999</v>
      </c>
      <c r="T66" s="404">
        <v>0</v>
      </c>
      <c r="U66" s="400" t="s">
        <v>2005</v>
      </c>
      <c r="V66" s="401" t="s">
        <v>1054</v>
      </c>
      <c r="W66" s="402" t="s">
        <v>1054</v>
      </c>
      <c r="X66" s="402" t="s">
        <v>1054</v>
      </c>
      <c r="Y66" s="403">
        <v>9999</v>
      </c>
      <c r="Z66" s="404">
        <v>0</v>
      </c>
      <c r="AA66" s="400" t="s">
        <v>2005</v>
      </c>
      <c r="AB66" s="401" t="s">
        <v>1054</v>
      </c>
      <c r="AC66" s="402" t="s">
        <v>1054</v>
      </c>
      <c r="AD66" s="402" t="s">
        <v>1054</v>
      </c>
      <c r="AE66" s="403">
        <v>9999</v>
      </c>
      <c r="AF66" s="404">
        <v>0</v>
      </c>
      <c r="AG66" s="409"/>
      <c r="AH66" s="445">
        <f>IF(TYPE(VLOOKUP(H66,Centrum!$A$3:$E$130,5,0))&lt;4,VLOOKUP(H66,Centrum!$A$3:$E$130,5,0),0)</f>
        <v>0</v>
      </c>
      <c r="AI66" s="405" t="str">
        <f>IF(N($AH66)&gt;0,VLOOKUP($AH66,Body!$A$4:$F$259,5,0),"")</f>
        <v/>
      </c>
      <c r="AJ66" s="406" t="str">
        <f>IF(N($AH66)&gt;0,VLOOKUP($AH66,Body!$A$4:$F$259,6,0),"")</f>
        <v/>
      </c>
      <c r="AK66" s="405" t="str">
        <f>IF(N($AH66)&gt;0,VLOOKUP($AH66,Body!$A$4:$F$259,2,0),"")</f>
        <v/>
      </c>
      <c r="AL66" s="407" t="str">
        <f t="shared" si="23"/>
        <v/>
      </c>
      <c r="AM66" s="408">
        <f t="shared" si="24"/>
        <v>0</v>
      </c>
      <c r="AN66" s="334">
        <f>IF(OR(TYPE(I66)&gt;1,TYPE(MATCH(I66,I67:I$139,0))&gt;1),0,MATCH(I66,I67:I$139,0))+IF(OR(TYPE(I66)&gt;1,TYPE(MATCH(I66,O$11:O$139,0))&gt;1),0,MATCH(I66,O$11:O$139,0))+IF(OR(TYPE(I66)&gt;1,TYPE(MATCH(I66,U$11:U$139,0))&gt;1),0,MATCH(I66,U$11:U$139,0))+IF(OR(TYPE(I66)&gt;1,TYPE(MATCH(I66,AA$11:AA$139,0))&gt;1),0,MATCH(I66,AA$11:AA$139,0))</f>
        <v>0</v>
      </c>
      <c r="AO66" s="334">
        <f>IF(OR(TYPE(O66)&gt;1,TYPE(MATCH(O66,I$11:I$139,0))&gt;1),0,MATCH(O66,I$11:I$139,0))+IF(OR(TYPE(O66)&gt;1,TYPE(MATCH(O66,O67:O$139,0))&gt;1),0,MATCH(O66,O67:O$139,0))+IF(OR(TYPE(O66)&gt;1,TYPE(MATCH(O66,U$11:U$139,0))&gt;1),0,MATCH(O66,U$11:U$139,0))+IF(OR(TYPE(O66)&gt;1,TYPE(MATCH(O66,AA$11:AA$139,0))&gt;1),0,MATCH(O66,AA$11:AA$139,0))</f>
        <v>0</v>
      </c>
      <c r="AP66" s="334">
        <f>IF(OR(TYPE(U66)&gt;1,TYPE(MATCH(U66,I$11:I$139,0))&gt;1),0,MATCH(U66,I$11:I$139,0))+IF(OR(TYPE(U66)&gt;1,TYPE(MATCH(U66,O$11:O$139,0))&gt;1),0,MATCH(U66,O$11:O$139,0))+IF(OR(TYPE(U66)&gt;1,TYPE(MATCH(U66,U67:U$139,0))&gt;1),0,MATCH(U66,U67:U$139,0))+IF(OR(TYPE(U66)&gt;1,TYPE(MATCH(U66,AA$11:AA$139,0))&gt;1),0,MATCH(U66,AA$11:AA$139,0))</f>
        <v>0</v>
      </c>
      <c r="AQ66" s="334">
        <f>IF(OR(TYPE(AA66)&gt;1,TYPE(MATCH(AA66,I$11:I$139,0))&gt;1),0,MATCH(AA66,I$11:I$139,0))+IF(OR(TYPE(AA66)&gt;1,TYPE(MATCH(AA66,O$11:O$139,0))&gt;1),0,MATCH(AA66,O$11:O$139,0))+IF(OR(TYPE(AA66)&gt;1,TYPE(MATCH(AA66,U$11:U$139,0))&gt;1),0,MATCH(U66,U$11:U$139,0))+IF(OR(TYPE(AA66)&gt;1,TYPE(MATCH(AA66,AA67:AA$139,0))&gt;1),0,MATCH(AA66,AA67:AA$139,0))</f>
        <v>0</v>
      </c>
      <c r="AR66" s="334">
        <f t="shared" si="25"/>
        <v>0</v>
      </c>
      <c r="AT66" s="333">
        <f t="shared" si="26"/>
        <v>0</v>
      </c>
      <c r="AU66" s="333">
        <f>IF(AND(N(I66)&gt;0,TYPE(VLOOKUP(I66,Hraci!$A$5:$A$800,1,0))&gt;3),1,0) + IF(AND(N(O66)&gt;0,TYPE(VLOOKUP(O66,Hraci!$A$5:$A$800,1,0))&gt;3),1,0) + IF(AND(N(U66)&gt;0,TYPE(VLOOKUP(U66,Hraci!$A$5:$A$800,1,0))&gt;3),1,0)</f>
        <v>0</v>
      </c>
      <c r="BF66" s="334">
        <f t="shared" si="14"/>
        <v>56</v>
      </c>
    </row>
    <row r="67" spans="1:58" ht="14.25" x14ac:dyDescent="0.3">
      <c r="A67" s="358">
        <f t="shared" si="15"/>
        <v>0</v>
      </c>
      <c r="B67" s="358">
        <f t="shared" si="16"/>
        <v>0</v>
      </c>
      <c r="C67" s="358">
        <f t="shared" si="17"/>
        <v>0</v>
      </c>
      <c r="D67" s="358">
        <f t="shared" si="18"/>
        <v>99999</v>
      </c>
      <c r="E67" s="358">
        <f t="shared" si="19"/>
        <v>9999</v>
      </c>
      <c r="F67" s="359" t="str">
        <f t="shared" ca="1" si="20"/>
        <v>90000000900000990000268037</v>
      </c>
      <c r="G67" s="398" t="b">
        <f t="shared" si="21"/>
        <v>1</v>
      </c>
      <c r="H67" s="399">
        <f t="shared" si="22"/>
        <v>57</v>
      </c>
      <c r="I67" s="400" t="s">
        <v>2005</v>
      </c>
      <c r="J67" s="401" t="s">
        <v>1054</v>
      </c>
      <c r="K67" s="402" t="s">
        <v>1054</v>
      </c>
      <c r="L67" s="402" t="s">
        <v>1054</v>
      </c>
      <c r="M67" s="403">
        <v>9999</v>
      </c>
      <c r="N67" s="404">
        <v>0</v>
      </c>
      <c r="O67" s="400" t="s">
        <v>2005</v>
      </c>
      <c r="P67" s="401" t="s">
        <v>1054</v>
      </c>
      <c r="Q67" s="402" t="s">
        <v>1054</v>
      </c>
      <c r="R67" s="402" t="s">
        <v>1054</v>
      </c>
      <c r="S67" s="403">
        <v>9999</v>
      </c>
      <c r="T67" s="404">
        <v>0</v>
      </c>
      <c r="U67" s="400" t="s">
        <v>2005</v>
      </c>
      <c r="V67" s="401" t="s">
        <v>1054</v>
      </c>
      <c r="W67" s="402" t="s">
        <v>1054</v>
      </c>
      <c r="X67" s="402" t="s">
        <v>1054</v>
      </c>
      <c r="Y67" s="403">
        <v>9999</v>
      </c>
      <c r="Z67" s="404">
        <v>0</v>
      </c>
      <c r="AA67" s="400" t="s">
        <v>2005</v>
      </c>
      <c r="AB67" s="401" t="s">
        <v>1054</v>
      </c>
      <c r="AC67" s="402" t="s">
        <v>1054</v>
      </c>
      <c r="AD67" s="402" t="s">
        <v>1054</v>
      </c>
      <c r="AE67" s="403">
        <v>9999</v>
      </c>
      <c r="AF67" s="404">
        <v>0</v>
      </c>
      <c r="AG67" s="409"/>
      <c r="AH67" s="445">
        <f>IF(TYPE(VLOOKUP(H67,Centrum!$A$3:$E$130,5,0))&lt;4,VLOOKUP(H67,Centrum!$A$3:$E$130,5,0),0)</f>
        <v>0</v>
      </c>
      <c r="AI67" s="405" t="str">
        <f>IF(N($AH67)&gt;0,VLOOKUP($AH67,Body!$A$4:$F$259,5,0),"")</f>
        <v/>
      </c>
      <c r="AJ67" s="406" t="str">
        <f>IF(N($AH67)&gt;0,VLOOKUP($AH67,Body!$A$4:$F$259,6,0),"")</f>
        <v/>
      </c>
      <c r="AK67" s="405" t="str">
        <f>IF(N($AH67)&gt;0,VLOOKUP($AH67,Body!$A$4:$F$259,2,0),"")</f>
        <v/>
      </c>
      <c r="AL67" s="407" t="str">
        <f t="shared" si="23"/>
        <v/>
      </c>
      <c r="AM67" s="408">
        <f t="shared" si="24"/>
        <v>0</v>
      </c>
      <c r="AN67" s="334">
        <f>IF(OR(TYPE(I67)&gt;1,TYPE(MATCH(I67,I68:I$139,0))&gt;1),0,MATCH(I67,I68:I$139,0))+IF(OR(TYPE(I67)&gt;1,TYPE(MATCH(I67,O$11:O$139,0))&gt;1),0,MATCH(I67,O$11:O$139,0))+IF(OR(TYPE(I67)&gt;1,TYPE(MATCH(I67,U$11:U$139,0))&gt;1),0,MATCH(I67,U$11:U$139,0))+IF(OR(TYPE(I67)&gt;1,TYPE(MATCH(I67,AA$11:AA$139,0))&gt;1),0,MATCH(I67,AA$11:AA$139,0))</f>
        <v>0</v>
      </c>
      <c r="AO67" s="334">
        <f>IF(OR(TYPE(O67)&gt;1,TYPE(MATCH(O67,I$11:I$139,0))&gt;1),0,MATCH(O67,I$11:I$139,0))+IF(OR(TYPE(O67)&gt;1,TYPE(MATCH(O67,O68:O$139,0))&gt;1),0,MATCH(O67,O68:O$139,0))+IF(OR(TYPE(O67)&gt;1,TYPE(MATCH(O67,U$11:U$139,0))&gt;1),0,MATCH(O67,U$11:U$139,0))+IF(OR(TYPE(O67)&gt;1,TYPE(MATCH(O67,AA$11:AA$139,0))&gt;1),0,MATCH(O67,AA$11:AA$139,0))</f>
        <v>0</v>
      </c>
      <c r="AP67" s="334">
        <f>IF(OR(TYPE(U67)&gt;1,TYPE(MATCH(U67,I$11:I$139,0))&gt;1),0,MATCH(U67,I$11:I$139,0))+IF(OR(TYPE(U67)&gt;1,TYPE(MATCH(U67,O$11:O$139,0))&gt;1),0,MATCH(U67,O$11:O$139,0))+IF(OR(TYPE(U67)&gt;1,TYPE(MATCH(U67,U68:U$139,0))&gt;1),0,MATCH(U67,U68:U$139,0))+IF(OR(TYPE(U67)&gt;1,TYPE(MATCH(U67,AA$11:AA$139,0))&gt;1),0,MATCH(U67,AA$11:AA$139,0))</f>
        <v>0</v>
      </c>
      <c r="AQ67" s="334">
        <f>IF(OR(TYPE(AA67)&gt;1,TYPE(MATCH(AA67,I$11:I$139,0))&gt;1),0,MATCH(AA67,I$11:I$139,0))+IF(OR(TYPE(AA67)&gt;1,TYPE(MATCH(AA67,O$11:O$139,0))&gt;1),0,MATCH(AA67,O$11:O$139,0))+IF(OR(TYPE(AA67)&gt;1,TYPE(MATCH(AA67,U$11:U$139,0))&gt;1),0,MATCH(U67,U$11:U$139,0))+IF(OR(TYPE(AA67)&gt;1,TYPE(MATCH(AA67,AA68:AA$139,0))&gt;1),0,MATCH(AA67,AA68:AA$139,0))</f>
        <v>0</v>
      </c>
      <c r="AR67" s="334">
        <f t="shared" si="25"/>
        <v>0</v>
      </c>
      <c r="AT67" s="333">
        <f t="shared" si="26"/>
        <v>0</v>
      </c>
      <c r="AU67" s="333">
        <f>IF(AND(N(I67)&gt;0,TYPE(VLOOKUP(I67,Hraci!$A$5:$A$800,1,0))&gt;3),1,0) + IF(AND(N(O67)&gt;0,TYPE(VLOOKUP(O67,Hraci!$A$5:$A$800,1,0))&gt;3),1,0) + IF(AND(N(U67)&gt;0,TYPE(VLOOKUP(U67,Hraci!$A$5:$A$800,1,0))&gt;3),1,0)</f>
        <v>0</v>
      </c>
      <c r="BF67" s="334">
        <f t="shared" si="14"/>
        <v>57</v>
      </c>
    </row>
    <row r="68" spans="1:58" ht="14.25" x14ac:dyDescent="0.3">
      <c r="A68" s="317">
        <f t="shared" si="15"/>
        <v>0</v>
      </c>
      <c r="B68" s="317">
        <f t="shared" si="16"/>
        <v>0</v>
      </c>
      <c r="C68" s="317">
        <f t="shared" si="17"/>
        <v>0</v>
      </c>
      <c r="D68" s="317">
        <f t="shared" si="18"/>
        <v>99999</v>
      </c>
      <c r="E68" s="358">
        <f t="shared" si="19"/>
        <v>9999</v>
      </c>
      <c r="F68" s="359" t="str">
        <f t="shared" ca="1" si="20"/>
        <v>90000000900000990000110506</v>
      </c>
      <c r="G68" s="398" t="b">
        <f t="shared" si="21"/>
        <v>1</v>
      </c>
      <c r="H68" s="399">
        <f t="shared" si="22"/>
        <v>58</v>
      </c>
      <c r="I68" s="400" t="s">
        <v>2005</v>
      </c>
      <c r="J68" s="401" t="s">
        <v>1054</v>
      </c>
      <c r="K68" s="402" t="s">
        <v>1054</v>
      </c>
      <c r="L68" s="402" t="s">
        <v>1054</v>
      </c>
      <c r="M68" s="403">
        <v>9999</v>
      </c>
      <c r="N68" s="404">
        <v>0</v>
      </c>
      <c r="O68" s="400" t="s">
        <v>2005</v>
      </c>
      <c r="P68" s="401" t="s">
        <v>1054</v>
      </c>
      <c r="Q68" s="402" t="s">
        <v>1054</v>
      </c>
      <c r="R68" s="402" t="s">
        <v>1054</v>
      </c>
      <c r="S68" s="403">
        <v>9999</v>
      </c>
      <c r="T68" s="404">
        <v>0</v>
      </c>
      <c r="U68" s="400" t="s">
        <v>2005</v>
      </c>
      <c r="V68" s="401" t="s">
        <v>1054</v>
      </c>
      <c r="W68" s="402" t="s">
        <v>1054</v>
      </c>
      <c r="X68" s="402" t="s">
        <v>1054</v>
      </c>
      <c r="Y68" s="403">
        <v>9999</v>
      </c>
      <c r="Z68" s="404">
        <v>0</v>
      </c>
      <c r="AA68" s="400" t="s">
        <v>2005</v>
      </c>
      <c r="AB68" s="401" t="s">
        <v>1054</v>
      </c>
      <c r="AC68" s="402" t="s">
        <v>1054</v>
      </c>
      <c r="AD68" s="402" t="s">
        <v>1054</v>
      </c>
      <c r="AE68" s="403">
        <v>9999</v>
      </c>
      <c r="AF68" s="404">
        <v>0</v>
      </c>
      <c r="AG68" s="409"/>
      <c r="AH68" s="445">
        <f>IF(TYPE(VLOOKUP(H68,Centrum!$A$3:$E$130,5,0))&lt;4,VLOOKUP(H68,Centrum!$A$3:$E$130,5,0),0)</f>
        <v>0</v>
      </c>
      <c r="AI68" s="405" t="str">
        <f>IF(N($AH68)&gt;0,VLOOKUP($AH68,Body!$A$4:$F$259,5,0),"")</f>
        <v/>
      </c>
      <c r="AJ68" s="406" t="str">
        <f>IF(N($AH68)&gt;0,VLOOKUP($AH68,Body!$A$4:$F$259,6,0),"")</f>
        <v/>
      </c>
      <c r="AK68" s="405" t="str">
        <f>IF(N($AH68)&gt;0,VLOOKUP($AH68,Body!$A$4:$F$259,2,0),"")</f>
        <v/>
      </c>
      <c r="AL68" s="407" t="str">
        <f t="shared" si="23"/>
        <v/>
      </c>
      <c r="AM68" s="408">
        <f t="shared" si="24"/>
        <v>0</v>
      </c>
      <c r="AN68" s="334">
        <f>IF(OR(TYPE(I68)&gt;1,TYPE(MATCH(I68,I69:I$139,0))&gt;1),0,MATCH(I68,I69:I$139,0))+IF(OR(TYPE(I68)&gt;1,TYPE(MATCH(I68,O$11:O$139,0))&gt;1),0,MATCH(I68,O$11:O$139,0))+IF(OR(TYPE(I68)&gt;1,TYPE(MATCH(I68,U$11:U$139,0))&gt;1),0,MATCH(I68,U$11:U$139,0))+IF(OR(TYPE(I68)&gt;1,TYPE(MATCH(I68,AA$11:AA$139,0))&gt;1),0,MATCH(I68,AA$11:AA$139,0))</f>
        <v>0</v>
      </c>
      <c r="AO68" s="334">
        <f>IF(OR(TYPE(O68)&gt;1,TYPE(MATCH(O68,I$11:I$139,0))&gt;1),0,MATCH(O68,I$11:I$139,0))+IF(OR(TYPE(O68)&gt;1,TYPE(MATCH(O68,O69:O$139,0))&gt;1),0,MATCH(O68,O69:O$139,0))+IF(OR(TYPE(O68)&gt;1,TYPE(MATCH(O68,U$11:U$139,0))&gt;1),0,MATCH(O68,U$11:U$139,0))+IF(OR(TYPE(O68)&gt;1,TYPE(MATCH(O68,AA$11:AA$139,0))&gt;1),0,MATCH(O68,AA$11:AA$139,0))</f>
        <v>0</v>
      </c>
      <c r="AP68" s="334">
        <f>IF(OR(TYPE(U68)&gt;1,TYPE(MATCH(U68,I$11:I$139,0))&gt;1),0,MATCH(U68,I$11:I$139,0))+IF(OR(TYPE(U68)&gt;1,TYPE(MATCH(U68,O$11:O$139,0))&gt;1),0,MATCH(U68,O$11:O$139,0))+IF(OR(TYPE(U68)&gt;1,TYPE(MATCH(U68,U69:U$139,0))&gt;1),0,MATCH(U68,U69:U$139,0))+IF(OR(TYPE(U68)&gt;1,TYPE(MATCH(U68,AA$11:AA$139,0))&gt;1),0,MATCH(U68,AA$11:AA$139,0))</f>
        <v>0</v>
      </c>
      <c r="AQ68" s="334">
        <f>IF(OR(TYPE(AA68)&gt;1,TYPE(MATCH(AA68,I$11:I$139,0))&gt;1),0,MATCH(AA68,I$11:I$139,0))+IF(OR(TYPE(AA68)&gt;1,TYPE(MATCH(AA68,O$11:O$139,0))&gt;1),0,MATCH(AA68,O$11:O$139,0))+IF(OR(TYPE(AA68)&gt;1,TYPE(MATCH(AA68,U$11:U$139,0))&gt;1),0,MATCH(U68,U$11:U$139,0))+IF(OR(TYPE(AA68)&gt;1,TYPE(MATCH(AA68,AA69:AA$139,0))&gt;1),0,MATCH(AA68,AA69:AA$139,0))</f>
        <v>0</v>
      </c>
      <c r="AR68" s="334">
        <f t="shared" si="25"/>
        <v>0</v>
      </c>
      <c r="AT68" s="333">
        <f t="shared" si="26"/>
        <v>0</v>
      </c>
      <c r="AU68" s="333">
        <f>IF(AND(N(I68)&gt;0,TYPE(VLOOKUP(I68,Hraci!$A$5:$A$800,1,0))&gt;3),1,0) + IF(AND(N(O68)&gt;0,TYPE(VLOOKUP(O68,Hraci!$A$5:$A$800,1,0))&gt;3),1,0) + IF(AND(N(U68)&gt;0,TYPE(VLOOKUP(U68,Hraci!$A$5:$A$800,1,0))&gt;3),1,0)</f>
        <v>0</v>
      </c>
      <c r="BF68" s="334">
        <f t="shared" si="14"/>
        <v>58</v>
      </c>
    </row>
    <row r="69" spans="1:58" ht="14.25" x14ac:dyDescent="0.3">
      <c r="A69" s="358">
        <f t="shared" si="15"/>
        <v>0</v>
      </c>
      <c r="B69" s="358">
        <f t="shared" si="16"/>
        <v>0</v>
      </c>
      <c r="C69" s="358">
        <f t="shared" si="17"/>
        <v>0</v>
      </c>
      <c r="D69" s="358">
        <f t="shared" si="18"/>
        <v>99999</v>
      </c>
      <c r="E69" s="358">
        <f t="shared" si="19"/>
        <v>9999</v>
      </c>
      <c r="F69" s="359" t="str">
        <f t="shared" ca="1" si="20"/>
        <v>90000000900000990000576134</v>
      </c>
      <c r="G69" s="398" t="b">
        <f t="shared" si="21"/>
        <v>1</v>
      </c>
      <c r="H69" s="399">
        <f t="shared" si="22"/>
        <v>59</v>
      </c>
      <c r="I69" s="400" t="s">
        <v>2005</v>
      </c>
      <c r="J69" s="401" t="s">
        <v>1054</v>
      </c>
      <c r="K69" s="402" t="s">
        <v>1054</v>
      </c>
      <c r="L69" s="402" t="s">
        <v>1054</v>
      </c>
      <c r="M69" s="403">
        <v>9999</v>
      </c>
      <c r="N69" s="404">
        <v>0</v>
      </c>
      <c r="O69" s="400" t="s">
        <v>2005</v>
      </c>
      <c r="P69" s="401" t="s">
        <v>1054</v>
      </c>
      <c r="Q69" s="402" t="s">
        <v>1054</v>
      </c>
      <c r="R69" s="402" t="s">
        <v>1054</v>
      </c>
      <c r="S69" s="403">
        <v>9999</v>
      </c>
      <c r="T69" s="404">
        <v>0</v>
      </c>
      <c r="U69" s="400" t="s">
        <v>2005</v>
      </c>
      <c r="V69" s="401" t="s">
        <v>1054</v>
      </c>
      <c r="W69" s="402" t="s">
        <v>1054</v>
      </c>
      <c r="X69" s="402" t="s">
        <v>1054</v>
      </c>
      <c r="Y69" s="403">
        <v>9999</v>
      </c>
      <c r="Z69" s="404">
        <v>0</v>
      </c>
      <c r="AA69" s="400" t="s">
        <v>2005</v>
      </c>
      <c r="AB69" s="401" t="s">
        <v>1054</v>
      </c>
      <c r="AC69" s="402" t="s">
        <v>1054</v>
      </c>
      <c r="AD69" s="402" t="s">
        <v>1054</v>
      </c>
      <c r="AE69" s="403">
        <v>9999</v>
      </c>
      <c r="AF69" s="404">
        <v>0</v>
      </c>
      <c r="AG69" s="409"/>
      <c r="AH69" s="445">
        <f>IF(TYPE(VLOOKUP(H69,Centrum!$A$3:$E$130,5,0))&lt;4,VLOOKUP(H69,Centrum!$A$3:$E$130,5,0),0)</f>
        <v>0</v>
      </c>
      <c r="AI69" s="405" t="str">
        <f>IF(N($AH69)&gt;0,VLOOKUP($AH69,Body!$A$4:$F$259,5,0),"")</f>
        <v/>
      </c>
      <c r="AJ69" s="406" t="str">
        <f>IF(N($AH69)&gt;0,VLOOKUP($AH69,Body!$A$4:$F$259,6,0),"")</f>
        <v/>
      </c>
      <c r="AK69" s="405" t="str">
        <f>IF(N($AH69)&gt;0,VLOOKUP($AH69,Body!$A$4:$F$259,2,0),"")</f>
        <v/>
      </c>
      <c r="AL69" s="407" t="str">
        <f t="shared" si="23"/>
        <v/>
      </c>
      <c r="AM69" s="408">
        <f t="shared" si="24"/>
        <v>0</v>
      </c>
      <c r="AN69" s="334">
        <f>IF(OR(TYPE(I69)&gt;1,TYPE(MATCH(I69,I70:I$139,0))&gt;1),0,MATCH(I69,I70:I$139,0))+IF(OR(TYPE(I69)&gt;1,TYPE(MATCH(I69,O$11:O$139,0))&gt;1),0,MATCH(I69,O$11:O$139,0))+IF(OR(TYPE(I69)&gt;1,TYPE(MATCH(I69,U$11:U$139,0))&gt;1),0,MATCH(I69,U$11:U$139,0))+IF(OR(TYPE(I69)&gt;1,TYPE(MATCH(I69,AA$11:AA$139,0))&gt;1),0,MATCH(I69,AA$11:AA$139,0))</f>
        <v>0</v>
      </c>
      <c r="AO69" s="334">
        <f>IF(OR(TYPE(O69)&gt;1,TYPE(MATCH(O69,I$11:I$139,0))&gt;1),0,MATCH(O69,I$11:I$139,0))+IF(OR(TYPE(O69)&gt;1,TYPE(MATCH(O69,O70:O$139,0))&gt;1),0,MATCH(O69,O70:O$139,0))+IF(OR(TYPE(O69)&gt;1,TYPE(MATCH(O69,U$11:U$139,0))&gt;1),0,MATCH(O69,U$11:U$139,0))+IF(OR(TYPE(O69)&gt;1,TYPE(MATCH(O69,AA$11:AA$139,0))&gt;1),0,MATCH(O69,AA$11:AA$139,0))</f>
        <v>0</v>
      </c>
      <c r="AP69" s="334">
        <f>IF(OR(TYPE(U69)&gt;1,TYPE(MATCH(U69,I$11:I$139,0))&gt;1),0,MATCH(U69,I$11:I$139,0))+IF(OR(TYPE(U69)&gt;1,TYPE(MATCH(U69,O$11:O$139,0))&gt;1),0,MATCH(U69,O$11:O$139,0))+IF(OR(TYPE(U69)&gt;1,TYPE(MATCH(U69,U70:U$139,0))&gt;1),0,MATCH(U69,U70:U$139,0))+IF(OR(TYPE(U69)&gt;1,TYPE(MATCH(U69,AA$11:AA$139,0))&gt;1),0,MATCH(U69,AA$11:AA$139,0))</f>
        <v>0</v>
      </c>
      <c r="AQ69" s="334">
        <f>IF(OR(TYPE(AA69)&gt;1,TYPE(MATCH(AA69,I$11:I$139,0))&gt;1),0,MATCH(AA69,I$11:I$139,0))+IF(OR(TYPE(AA69)&gt;1,TYPE(MATCH(AA69,O$11:O$139,0))&gt;1),0,MATCH(AA69,O$11:O$139,0))+IF(OR(TYPE(AA69)&gt;1,TYPE(MATCH(AA69,U$11:U$139,0))&gt;1),0,MATCH(U69,U$11:U$139,0))+IF(OR(TYPE(AA69)&gt;1,TYPE(MATCH(AA69,AA70:AA$139,0))&gt;1),0,MATCH(AA69,AA70:AA$139,0))</f>
        <v>0</v>
      </c>
      <c r="AR69" s="334">
        <f t="shared" si="25"/>
        <v>0</v>
      </c>
      <c r="AT69" s="333">
        <f t="shared" si="26"/>
        <v>0</v>
      </c>
      <c r="AU69" s="333">
        <f>IF(AND(N(I69)&gt;0,TYPE(VLOOKUP(I69,Hraci!$A$5:$A$800,1,0))&gt;3),1,0) + IF(AND(N(O69)&gt;0,TYPE(VLOOKUP(O69,Hraci!$A$5:$A$800,1,0))&gt;3),1,0) + IF(AND(N(U69)&gt;0,TYPE(VLOOKUP(U69,Hraci!$A$5:$A$800,1,0))&gt;3),1,0)</f>
        <v>0</v>
      </c>
      <c r="BF69" s="334">
        <f t="shared" si="14"/>
        <v>59</v>
      </c>
    </row>
    <row r="70" spans="1:58" ht="14.25" x14ac:dyDescent="0.3">
      <c r="A70" s="358">
        <f t="shared" si="15"/>
        <v>0</v>
      </c>
      <c r="B70" s="358">
        <f t="shared" si="16"/>
        <v>0</v>
      </c>
      <c r="C70" s="358">
        <f t="shared" si="17"/>
        <v>0</v>
      </c>
      <c r="D70" s="358">
        <f t="shared" si="18"/>
        <v>99999</v>
      </c>
      <c r="E70" s="358">
        <f t="shared" si="19"/>
        <v>9999</v>
      </c>
      <c r="F70" s="359" t="str">
        <f t="shared" ca="1" si="20"/>
        <v>90000000900000990000560263</v>
      </c>
      <c r="G70" s="398" t="b">
        <f t="shared" si="21"/>
        <v>1</v>
      </c>
      <c r="H70" s="399">
        <f t="shared" si="22"/>
        <v>60</v>
      </c>
      <c r="I70" s="400" t="s">
        <v>2005</v>
      </c>
      <c r="J70" s="401" t="s">
        <v>1054</v>
      </c>
      <c r="K70" s="402" t="s">
        <v>1054</v>
      </c>
      <c r="L70" s="402" t="s">
        <v>1054</v>
      </c>
      <c r="M70" s="403">
        <v>9999</v>
      </c>
      <c r="N70" s="404">
        <v>0</v>
      </c>
      <c r="O70" s="400" t="s">
        <v>2005</v>
      </c>
      <c r="P70" s="401" t="s">
        <v>1054</v>
      </c>
      <c r="Q70" s="402" t="s">
        <v>1054</v>
      </c>
      <c r="R70" s="402" t="s">
        <v>1054</v>
      </c>
      <c r="S70" s="403">
        <v>9999</v>
      </c>
      <c r="T70" s="404">
        <v>0</v>
      </c>
      <c r="U70" s="400" t="s">
        <v>2005</v>
      </c>
      <c r="V70" s="401" t="s">
        <v>1054</v>
      </c>
      <c r="W70" s="402" t="s">
        <v>1054</v>
      </c>
      <c r="X70" s="402" t="s">
        <v>1054</v>
      </c>
      <c r="Y70" s="403">
        <v>9999</v>
      </c>
      <c r="Z70" s="404">
        <v>0</v>
      </c>
      <c r="AA70" s="400" t="s">
        <v>2005</v>
      </c>
      <c r="AB70" s="401" t="s">
        <v>1054</v>
      </c>
      <c r="AC70" s="402" t="s">
        <v>1054</v>
      </c>
      <c r="AD70" s="402" t="s">
        <v>1054</v>
      </c>
      <c r="AE70" s="403">
        <v>9999</v>
      </c>
      <c r="AF70" s="404">
        <v>0</v>
      </c>
      <c r="AG70" s="409"/>
      <c r="AH70" s="445">
        <f>IF(TYPE(VLOOKUP(H70,Centrum!$A$3:$E$130,5,0))&lt;4,VLOOKUP(H70,Centrum!$A$3:$E$130,5,0),0)</f>
        <v>0</v>
      </c>
      <c r="AI70" s="405" t="str">
        <f>IF(N($AH70)&gt;0,VLOOKUP($AH70,Body!$A$4:$F$259,5,0),"")</f>
        <v/>
      </c>
      <c r="AJ70" s="406" t="str">
        <f>IF(N($AH70)&gt;0,VLOOKUP($AH70,Body!$A$4:$F$259,6,0),"")</f>
        <v/>
      </c>
      <c r="AK70" s="405" t="str">
        <f>IF(N($AH70)&gt;0,VLOOKUP($AH70,Body!$A$4:$F$259,2,0),"")</f>
        <v/>
      </c>
      <c r="AL70" s="407" t="str">
        <f t="shared" si="23"/>
        <v/>
      </c>
      <c r="AM70" s="408">
        <f t="shared" si="24"/>
        <v>0</v>
      </c>
      <c r="AN70" s="334">
        <f>IF(OR(TYPE(I70)&gt;1,TYPE(MATCH(I70,I71:I$139,0))&gt;1),0,MATCH(I70,I71:I$139,0))+IF(OR(TYPE(I70)&gt;1,TYPE(MATCH(I70,O$11:O$139,0))&gt;1),0,MATCH(I70,O$11:O$139,0))+IF(OR(TYPE(I70)&gt;1,TYPE(MATCH(I70,U$11:U$139,0))&gt;1),0,MATCH(I70,U$11:U$139,0))+IF(OR(TYPE(I70)&gt;1,TYPE(MATCH(I70,AA$11:AA$139,0))&gt;1),0,MATCH(I70,AA$11:AA$139,0))</f>
        <v>0</v>
      </c>
      <c r="AO70" s="334">
        <f>IF(OR(TYPE(O70)&gt;1,TYPE(MATCH(O70,I$11:I$139,0))&gt;1),0,MATCH(O70,I$11:I$139,0))+IF(OR(TYPE(O70)&gt;1,TYPE(MATCH(O70,O71:O$139,0))&gt;1),0,MATCH(O70,O71:O$139,0))+IF(OR(TYPE(O70)&gt;1,TYPE(MATCH(O70,U$11:U$139,0))&gt;1),0,MATCH(O70,U$11:U$139,0))+IF(OR(TYPE(O70)&gt;1,TYPE(MATCH(O70,AA$11:AA$139,0))&gt;1),0,MATCH(O70,AA$11:AA$139,0))</f>
        <v>0</v>
      </c>
      <c r="AP70" s="334">
        <f>IF(OR(TYPE(U70)&gt;1,TYPE(MATCH(U70,I$11:I$139,0))&gt;1),0,MATCH(U70,I$11:I$139,0))+IF(OR(TYPE(U70)&gt;1,TYPE(MATCH(U70,O$11:O$139,0))&gt;1),0,MATCH(U70,O$11:O$139,0))+IF(OR(TYPE(U70)&gt;1,TYPE(MATCH(U70,U71:U$139,0))&gt;1),0,MATCH(U70,U71:U$139,0))+IF(OR(TYPE(U70)&gt;1,TYPE(MATCH(U70,AA$11:AA$139,0))&gt;1),0,MATCH(U70,AA$11:AA$139,0))</f>
        <v>0</v>
      </c>
      <c r="AQ70" s="334">
        <f>IF(OR(TYPE(AA70)&gt;1,TYPE(MATCH(AA70,I$11:I$139,0))&gt;1),0,MATCH(AA70,I$11:I$139,0))+IF(OR(TYPE(AA70)&gt;1,TYPE(MATCH(AA70,O$11:O$139,0))&gt;1),0,MATCH(AA70,O$11:O$139,0))+IF(OR(TYPE(AA70)&gt;1,TYPE(MATCH(AA70,U$11:U$139,0))&gt;1),0,MATCH(U70,U$11:U$139,0))+IF(OR(TYPE(AA70)&gt;1,TYPE(MATCH(AA70,AA71:AA$139,0))&gt;1),0,MATCH(AA70,AA71:AA$139,0))</f>
        <v>0</v>
      </c>
      <c r="AR70" s="334">
        <f t="shared" si="25"/>
        <v>0</v>
      </c>
      <c r="AT70" s="333">
        <f t="shared" si="26"/>
        <v>0</v>
      </c>
      <c r="AU70" s="333">
        <f>IF(AND(N(I70)&gt;0,TYPE(VLOOKUP(I70,Hraci!$A$5:$A$800,1,0))&gt;3),1,0) + IF(AND(N(O70)&gt;0,TYPE(VLOOKUP(O70,Hraci!$A$5:$A$800,1,0))&gt;3),1,0) + IF(AND(N(U70)&gt;0,TYPE(VLOOKUP(U70,Hraci!$A$5:$A$800,1,0))&gt;3),1,0)</f>
        <v>0</v>
      </c>
      <c r="BF70" s="334">
        <f t="shared" si="14"/>
        <v>60</v>
      </c>
    </row>
    <row r="71" spans="1:58" ht="14.25" x14ac:dyDescent="0.3">
      <c r="A71" s="358">
        <f t="shared" si="15"/>
        <v>0</v>
      </c>
      <c r="B71" s="358">
        <f t="shared" si="16"/>
        <v>0</v>
      </c>
      <c r="C71" s="358">
        <f t="shared" si="17"/>
        <v>0</v>
      </c>
      <c r="D71" s="358">
        <f t="shared" si="18"/>
        <v>99999</v>
      </c>
      <c r="E71" s="358">
        <f t="shared" si="19"/>
        <v>9999</v>
      </c>
      <c r="F71" s="359" t="str">
        <f t="shared" ca="1" si="20"/>
        <v>90000000900000990000247191</v>
      </c>
      <c r="G71" s="398" t="b">
        <f t="shared" si="21"/>
        <v>1</v>
      </c>
      <c r="H71" s="399">
        <f t="shared" si="22"/>
        <v>61</v>
      </c>
      <c r="I71" s="400" t="s">
        <v>2005</v>
      </c>
      <c r="J71" s="401" t="s">
        <v>1054</v>
      </c>
      <c r="K71" s="402" t="s">
        <v>1054</v>
      </c>
      <c r="L71" s="402" t="s">
        <v>1054</v>
      </c>
      <c r="M71" s="403">
        <v>9999</v>
      </c>
      <c r="N71" s="404">
        <v>0</v>
      </c>
      <c r="O71" s="400" t="s">
        <v>2005</v>
      </c>
      <c r="P71" s="401" t="s">
        <v>1054</v>
      </c>
      <c r="Q71" s="402" t="s">
        <v>1054</v>
      </c>
      <c r="R71" s="402" t="s">
        <v>1054</v>
      </c>
      <c r="S71" s="403">
        <v>9999</v>
      </c>
      <c r="T71" s="404">
        <v>0</v>
      </c>
      <c r="U71" s="400" t="s">
        <v>2005</v>
      </c>
      <c r="V71" s="401" t="s">
        <v>1054</v>
      </c>
      <c r="W71" s="402" t="s">
        <v>1054</v>
      </c>
      <c r="X71" s="402" t="s">
        <v>1054</v>
      </c>
      <c r="Y71" s="403">
        <v>9999</v>
      </c>
      <c r="Z71" s="404">
        <v>0</v>
      </c>
      <c r="AA71" s="400" t="s">
        <v>2005</v>
      </c>
      <c r="AB71" s="401" t="s">
        <v>1054</v>
      </c>
      <c r="AC71" s="402" t="s">
        <v>1054</v>
      </c>
      <c r="AD71" s="402" t="s">
        <v>1054</v>
      </c>
      <c r="AE71" s="403">
        <v>9999</v>
      </c>
      <c r="AF71" s="404">
        <v>0</v>
      </c>
      <c r="AG71" s="409"/>
      <c r="AH71" s="445">
        <f>IF(TYPE(VLOOKUP(H71,Centrum!$A$3:$E$130,5,0))&lt;4,VLOOKUP(H71,Centrum!$A$3:$E$130,5,0),0)</f>
        <v>0</v>
      </c>
      <c r="AI71" s="405" t="str">
        <f>IF(N($AH71)&gt;0,VLOOKUP($AH71,Body!$A$4:$F$259,5,0),"")</f>
        <v/>
      </c>
      <c r="AJ71" s="406" t="str">
        <f>IF(N($AH71)&gt;0,VLOOKUP($AH71,Body!$A$4:$F$259,6,0),"")</f>
        <v/>
      </c>
      <c r="AK71" s="405" t="str">
        <f>IF(N($AH71)&gt;0,VLOOKUP($AH71,Body!$A$4:$F$259,2,0),"")</f>
        <v/>
      </c>
      <c r="AL71" s="407" t="str">
        <f t="shared" si="23"/>
        <v/>
      </c>
      <c r="AM71" s="408">
        <f t="shared" si="24"/>
        <v>0</v>
      </c>
      <c r="AN71" s="334">
        <f>IF(OR(TYPE(I71)&gt;1,TYPE(MATCH(I71,I72:I$139,0))&gt;1),0,MATCH(I71,I72:I$139,0))+IF(OR(TYPE(I71)&gt;1,TYPE(MATCH(I71,O$11:O$139,0))&gt;1),0,MATCH(I71,O$11:O$139,0))+IF(OR(TYPE(I71)&gt;1,TYPE(MATCH(I71,U$11:U$139,0))&gt;1),0,MATCH(I71,U$11:U$139,0))+IF(OR(TYPE(I71)&gt;1,TYPE(MATCH(I71,AA$11:AA$139,0))&gt;1),0,MATCH(I71,AA$11:AA$139,0))</f>
        <v>0</v>
      </c>
      <c r="AO71" s="334">
        <f>IF(OR(TYPE(O71)&gt;1,TYPE(MATCH(O71,I$11:I$139,0))&gt;1),0,MATCH(O71,I$11:I$139,0))+IF(OR(TYPE(O71)&gt;1,TYPE(MATCH(O71,O72:O$139,0))&gt;1),0,MATCH(O71,O72:O$139,0))+IF(OR(TYPE(O71)&gt;1,TYPE(MATCH(O71,U$11:U$139,0))&gt;1),0,MATCH(O71,U$11:U$139,0))+IF(OR(TYPE(O71)&gt;1,TYPE(MATCH(O71,AA$11:AA$139,0))&gt;1),0,MATCH(O71,AA$11:AA$139,0))</f>
        <v>0</v>
      </c>
      <c r="AP71" s="334">
        <f>IF(OR(TYPE(U71)&gt;1,TYPE(MATCH(U71,I$11:I$139,0))&gt;1),0,MATCH(U71,I$11:I$139,0))+IF(OR(TYPE(U71)&gt;1,TYPE(MATCH(U71,O$11:O$139,0))&gt;1),0,MATCH(U71,O$11:O$139,0))+IF(OR(TYPE(U71)&gt;1,TYPE(MATCH(U71,U72:U$139,0))&gt;1),0,MATCH(U71,U72:U$139,0))+IF(OR(TYPE(U71)&gt;1,TYPE(MATCH(U71,AA$11:AA$139,0))&gt;1),0,MATCH(U71,AA$11:AA$139,0))</f>
        <v>0</v>
      </c>
      <c r="AQ71" s="334">
        <f>IF(OR(TYPE(AA71)&gt;1,TYPE(MATCH(AA71,I$11:I$139,0))&gt;1),0,MATCH(AA71,I$11:I$139,0))+IF(OR(TYPE(AA71)&gt;1,TYPE(MATCH(AA71,O$11:O$139,0))&gt;1),0,MATCH(AA71,O$11:O$139,0))+IF(OR(TYPE(AA71)&gt;1,TYPE(MATCH(AA71,U$11:U$139,0))&gt;1),0,MATCH(U71,U$11:U$139,0))+IF(OR(TYPE(AA71)&gt;1,TYPE(MATCH(AA71,AA72:AA$139,0))&gt;1),0,MATCH(AA71,AA72:AA$139,0))</f>
        <v>0</v>
      </c>
      <c r="AR71" s="334">
        <f t="shared" si="25"/>
        <v>0</v>
      </c>
      <c r="AT71" s="333">
        <f t="shared" si="26"/>
        <v>0</v>
      </c>
      <c r="AU71" s="333">
        <f>IF(AND(N(I71)&gt;0,TYPE(VLOOKUP(I71,Hraci!$A$5:$A$800,1,0))&gt;3),1,0) + IF(AND(N(O71)&gt;0,TYPE(VLOOKUP(O71,Hraci!$A$5:$A$800,1,0))&gt;3),1,0) + IF(AND(N(U71)&gt;0,TYPE(VLOOKUP(U71,Hraci!$A$5:$A$800,1,0))&gt;3),1,0)</f>
        <v>0</v>
      </c>
      <c r="BF71" s="334">
        <f t="shared" si="14"/>
        <v>61</v>
      </c>
    </row>
    <row r="72" spans="1:58" ht="14.25" x14ac:dyDescent="0.3">
      <c r="A72" s="358">
        <f t="shared" si="15"/>
        <v>0</v>
      </c>
      <c r="B72" s="358">
        <f t="shared" si="16"/>
        <v>0</v>
      </c>
      <c r="C72" s="358">
        <f t="shared" si="17"/>
        <v>0</v>
      </c>
      <c r="D72" s="358">
        <f t="shared" si="18"/>
        <v>99999</v>
      </c>
      <c r="E72" s="358">
        <f t="shared" si="19"/>
        <v>9999</v>
      </c>
      <c r="F72" s="359" t="str">
        <f t="shared" ca="1" si="20"/>
        <v>90000000900000990000123385</v>
      </c>
      <c r="G72" s="398" t="b">
        <f t="shared" si="21"/>
        <v>1</v>
      </c>
      <c r="H72" s="399">
        <f t="shared" si="22"/>
        <v>62</v>
      </c>
      <c r="I72" s="400" t="s">
        <v>2005</v>
      </c>
      <c r="J72" s="401" t="s">
        <v>1054</v>
      </c>
      <c r="K72" s="402" t="s">
        <v>1054</v>
      </c>
      <c r="L72" s="402" t="s">
        <v>1054</v>
      </c>
      <c r="M72" s="403">
        <v>9999</v>
      </c>
      <c r="N72" s="404">
        <v>0</v>
      </c>
      <c r="O72" s="400" t="s">
        <v>2005</v>
      </c>
      <c r="P72" s="401" t="s">
        <v>1054</v>
      </c>
      <c r="Q72" s="402" t="s">
        <v>1054</v>
      </c>
      <c r="R72" s="402" t="s">
        <v>1054</v>
      </c>
      <c r="S72" s="403">
        <v>9999</v>
      </c>
      <c r="T72" s="404">
        <v>0</v>
      </c>
      <c r="U72" s="400" t="s">
        <v>2005</v>
      </c>
      <c r="V72" s="401" t="s">
        <v>1054</v>
      </c>
      <c r="W72" s="402" t="s">
        <v>1054</v>
      </c>
      <c r="X72" s="402" t="s">
        <v>1054</v>
      </c>
      <c r="Y72" s="403">
        <v>9999</v>
      </c>
      <c r="Z72" s="404">
        <v>0</v>
      </c>
      <c r="AA72" s="400" t="s">
        <v>2005</v>
      </c>
      <c r="AB72" s="401" t="s">
        <v>1054</v>
      </c>
      <c r="AC72" s="402" t="s">
        <v>1054</v>
      </c>
      <c r="AD72" s="402" t="s">
        <v>1054</v>
      </c>
      <c r="AE72" s="403">
        <v>9999</v>
      </c>
      <c r="AF72" s="404">
        <v>0</v>
      </c>
      <c r="AG72" s="409"/>
      <c r="AH72" s="445">
        <f>IF(TYPE(VLOOKUP(H72,Centrum!$A$3:$E$130,5,0))&lt;4,VLOOKUP(H72,Centrum!$A$3:$E$130,5,0),0)</f>
        <v>0</v>
      </c>
      <c r="AI72" s="405" t="str">
        <f>IF(N($AH72)&gt;0,VLOOKUP($AH72,Body!$A$4:$F$259,5,0),"")</f>
        <v/>
      </c>
      <c r="AJ72" s="406" t="str">
        <f>IF(N($AH72)&gt;0,VLOOKUP($AH72,Body!$A$4:$F$259,6,0),"")</f>
        <v/>
      </c>
      <c r="AK72" s="405" t="str">
        <f>IF(N($AH72)&gt;0,VLOOKUP($AH72,Body!$A$4:$F$259,2,0),"")</f>
        <v/>
      </c>
      <c r="AL72" s="407" t="str">
        <f t="shared" si="23"/>
        <v/>
      </c>
      <c r="AM72" s="408">
        <f t="shared" si="24"/>
        <v>0</v>
      </c>
      <c r="AN72" s="334">
        <f>IF(OR(TYPE(I72)&gt;1,TYPE(MATCH(I72,I73:I$139,0))&gt;1),0,MATCH(I72,I73:I$139,0))+IF(OR(TYPE(I72)&gt;1,TYPE(MATCH(I72,O$11:O$139,0))&gt;1),0,MATCH(I72,O$11:O$139,0))+IF(OR(TYPE(I72)&gt;1,TYPE(MATCH(I72,U$11:U$139,0))&gt;1),0,MATCH(I72,U$11:U$139,0))+IF(OR(TYPE(I72)&gt;1,TYPE(MATCH(I72,AA$11:AA$139,0))&gt;1),0,MATCH(I72,AA$11:AA$139,0))</f>
        <v>0</v>
      </c>
      <c r="AO72" s="334">
        <f>IF(OR(TYPE(O72)&gt;1,TYPE(MATCH(O72,I$11:I$139,0))&gt;1),0,MATCH(O72,I$11:I$139,0))+IF(OR(TYPE(O72)&gt;1,TYPE(MATCH(O72,O73:O$139,0))&gt;1),0,MATCH(O72,O73:O$139,0))+IF(OR(TYPE(O72)&gt;1,TYPE(MATCH(O72,U$11:U$139,0))&gt;1),0,MATCH(O72,U$11:U$139,0))+IF(OR(TYPE(O72)&gt;1,TYPE(MATCH(O72,AA$11:AA$139,0))&gt;1),0,MATCH(O72,AA$11:AA$139,0))</f>
        <v>0</v>
      </c>
      <c r="AP72" s="334">
        <f>IF(OR(TYPE(U72)&gt;1,TYPE(MATCH(U72,I$11:I$139,0))&gt;1),0,MATCH(U72,I$11:I$139,0))+IF(OR(TYPE(U72)&gt;1,TYPE(MATCH(U72,O$11:O$139,0))&gt;1),0,MATCH(U72,O$11:O$139,0))+IF(OR(TYPE(U72)&gt;1,TYPE(MATCH(U72,U73:U$139,0))&gt;1),0,MATCH(U72,U73:U$139,0))+IF(OR(TYPE(U72)&gt;1,TYPE(MATCH(U72,AA$11:AA$139,0))&gt;1),0,MATCH(U72,AA$11:AA$139,0))</f>
        <v>0</v>
      </c>
      <c r="AQ72" s="334">
        <f>IF(OR(TYPE(AA72)&gt;1,TYPE(MATCH(AA72,I$11:I$139,0))&gt;1),0,MATCH(AA72,I$11:I$139,0))+IF(OR(TYPE(AA72)&gt;1,TYPE(MATCH(AA72,O$11:O$139,0))&gt;1),0,MATCH(AA72,O$11:O$139,0))+IF(OR(TYPE(AA72)&gt;1,TYPE(MATCH(AA72,U$11:U$139,0))&gt;1),0,MATCH(U72,U$11:U$139,0))+IF(OR(TYPE(AA72)&gt;1,TYPE(MATCH(AA72,AA73:AA$139,0))&gt;1),0,MATCH(AA72,AA73:AA$139,0))</f>
        <v>0</v>
      </c>
      <c r="AR72" s="334">
        <f t="shared" si="25"/>
        <v>0</v>
      </c>
      <c r="AT72" s="333">
        <f t="shared" si="26"/>
        <v>0</v>
      </c>
      <c r="AU72" s="333">
        <f>IF(AND(N(I72)&gt;0,TYPE(VLOOKUP(I72,Hraci!$A$5:$A$800,1,0))&gt;3),1,0) + IF(AND(N(O72)&gt;0,TYPE(VLOOKUP(O72,Hraci!$A$5:$A$800,1,0))&gt;3),1,0) + IF(AND(N(U72)&gt;0,TYPE(VLOOKUP(U72,Hraci!$A$5:$A$800,1,0))&gt;3),1,0)</f>
        <v>0</v>
      </c>
      <c r="BF72" s="334">
        <f t="shared" si="14"/>
        <v>62</v>
      </c>
    </row>
    <row r="73" spans="1:58" ht="14.25" x14ac:dyDescent="0.3">
      <c r="A73" s="358">
        <f t="shared" si="15"/>
        <v>0</v>
      </c>
      <c r="B73" s="358">
        <f t="shared" si="16"/>
        <v>0</v>
      </c>
      <c r="C73" s="358">
        <f t="shared" si="17"/>
        <v>0</v>
      </c>
      <c r="D73" s="358">
        <f t="shared" si="18"/>
        <v>99999</v>
      </c>
      <c r="E73" s="317">
        <f t="shared" si="19"/>
        <v>9999</v>
      </c>
      <c r="F73" s="359" t="str">
        <f t="shared" ca="1" si="20"/>
        <v>90000000900000990000616318</v>
      </c>
      <c r="G73" s="398" t="b">
        <f t="shared" si="21"/>
        <v>1</v>
      </c>
      <c r="H73" s="399">
        <f t="shared" si="22"/>
        <v>63</v>
      </c>
      <c r="I73" s="400" t="s">
        <v>2005</v>
      </c>
      <c r="J73" s="401" t="s">
        <v>1054</v>
      </c>
      <c r="K73" s="402" t="s">
        <v>1054</v>
      </c>
      <c r="L73" s="402" t="s">
        <v>1054</v>
      </c>
      <c r="M73" s="403">
        <v>9999</v>
      </c>
      <c r="N73" s="404">
        <v>0</v>
      </c>
      <c r="O73" s="400" t="s">
        <v>2005</v>
      </c>
      <c r="P73" s="401" t="s">
        <v>1054</v>
      </c>
      <c r="Q73" s="402" t="s">
        <v>1054</v>
      </c>
      <c r="R73" s="402" t="s">
        <v>1054</v>
      </c>
      <c r="S73" s="403">
        <v>9999</v>
      </c>
      <c r="T73" s="404">
        <v>0</v>
      </c>
      <c r="U73" s="400" t="s">
        <v>2005</v>
      </c>
      <c r="V73" s="401" t="s">
        <v>1054</v>
      </c>
      <c r="W73" s="402" t="s">
        <v>1054</v>
      </c>
      <c r="X73" s="402" t="s">
        <v>1054</v>
      </c>
      <c r="Y73" s="403">
        <v>9999</v>
      </c>
      <c r="Z73" s="404">
        <v>0</v>
      </c>
      <c r="AA73" s="400" t="s">
        <v>2005</v>
      </c>
      <c r="AB73" s="401" t="s">
        <v>1054</v>
      </c>
      <c r="AC73" s="402" t="s">
        <v>1054</v>
      </c>
      <c r="AD73" s="402" t="s">
        <v>1054</v>
      </c>
      <c r="AE73" s="403">
        <v>9999</v>
      </c>
      <c r="AF73" s="404">
        <v>0</v>
      </c>
      <c r="AG73" s="409"/>
      <c r="AH73" s="445">
        <f>IF(TYPE(VLOOKUP(H73,Centrum!$A$3:$E$130,5,0))&lt;4,VLOOKUP(H73,Centrum!$A$3:$E$130,5,0),0)</f>
        <v>0</v>
      </c>
      <c r="AI73" s="405" t="str">
        <f>IF(N($AH73)&gt;0,VLOOKUP($AH73,Body!$A$4:$F$259,5,0),"")</f>
        <v/>
      </c>
      <c r="AJ73" s="406" t="str">
        <f>IF(N($AH73)&gt;0,VLOOKUP($AH73,Body!$A$4:$F$259,6,0),"")</f>
        <v/>
      </c>
      <c r="AK73" s="405" t="str">
        <f>IF(N($AH73)&gt;0,VLOOKUP($AH73,Body!$A$4:$F$259,2,0),"")</f>
        <v/>
      </c>
      <c r="AL73" s="407" t="str">
        <f t="shared" si="23"/>
        <v/>
      </c>
      <c r="AM73" s="408">
        <f t="shared" si="24"/>
        <v>0</v>
      </c>
      <c r="AN73" s="334">
        <f>IF(OR(TYPE(I73)&gt;1,TYPE(MATCH(I73,I74:I$139,0))&gt;1),0,MATCH(I73,I74:I$139,0))+IF(OR(TYPE(I73)&gt;1,TYPE(MATCH(I73,O$11:O$139,0))&gt;1),0,MATCH(I73,O$11:O$139,0))+IF(OR(TYPE(I73)&gt;1,TYPE(MATCH(I73,U$11:U$139,0))&gt;1),0,MATCH(I73,U$11:U$139,0))+IF(OR(TYPE(I73)&gt;1,TYPE(MATCH(I73,AA$11:AA$139,0))&gt;1),0,MATCH(I73,AA$11:AA$139,0))</f>
        <v>0</v>
      </c>
      <c r="AO73" s="334">
        <f>IF(OR(TYPE(O73)&gt;1,TYPE(MATCH(O73,I$11:I$139,0))&gt;1),0,MATCH(O73,I$11:I$139,0))+IF(OR(TYPE(O73)&gt;1,TYPE(MATCH(O73,O74:O$139,0))&gt;1),0,MATCH(O73,O74:O$139,0))+IF(OR(TYPE(O73)&gt;1,TYPE(MATCH(O73,U$11:U$139,0))&gt;1),0,MATCH(O73,U$11:U$139,0))+IF(OR(TYPE(O73)&gt;1,TYPE(MATCH(O73,AA$11:AA$139,0))&gt;1),0,MATCH(O73,AA$11:AA$139,0))</f>
        <v>0</v>
      </c>
      <c r="AP73" s="334">
        <f>IF(OR(TYPE(U73)&gt;1,TYPE(MATCH(U73,I$11:I$139,0))&gt;1),0,MATCH(U73,I$11:I$139,0))+IF(OR(TYPE(U73)&gt;1,TYPE(MATCH(U73,O$11:O$139,0))&gt;1),0,MATCH(U73,O$11:O$139,0))+IF(OR(TYPE(U73)&gt;1,TYPE(MATCH(U73,U74:U$139,0))&gt;1),0,MATCH(U73,U74:U$139,0))+IF(OR(TYPE(U73)&gt;1,TYPE(MATCH(U73,AA$11:AA$139,0))&gt;1),0,MATCH(U73,AA$11:AA$139,0))</f>
        <v>0</v>
      </c>
      <c r="AQ73" s="334">
        <f>IF(OR(TYPE(AA73)&gt;1,TYPE(MATCH(AA73,I$11:I$139,0))&gt;1),0,MATCH(AA73,I$11:I$139,0))+IF(OR(TYPE(AA73)&gt;1,TYPE(MATCH(AA73,O$11:O$139,0))&gt;1),0,MATCH(AA73,O$11:O$139,0))+IF(OR(TYPE(AA73)&gt;1,TYPE(MATCH(AA73,U$11:U$139,0))&gt;1),0,MATCH(U73,U$11:U$139,0))+IF(OR(TYPE(AA73)&gt;1,TYPE(MATCH(AA73,AA74:AA$139,0))&gt;1),0,MATCH(AA73,AA74:AA$139,0))</f>
        <v>0</v>
      </c>
      <c r="AR73" s="334">
        <f t="shared" si="25"/>
        <v>0</v>
      </c>
      <c r="AT73" s="333">
        <f t="shared" si="26"/>
        <v>0</v>
      </c>
      <c r="AU73" s="333">
        <f>IF(AND(N(I73)&gt;0,TYPE(VLOOKUP(I73,Hraci!$A$5:$A$800,1,0))&gt;3),1,0) + IF(AND(N(O73)&gt;0,TYPE(VLOOKUP(O73,Hraci!$A$5:$A$800,1,0))&gt;3),1,0) + IF(AND(N(U73)&gt;0,TYPE(VLOOKUP(U73,Hraci!$A$5:$A$800,1,0))&gt;3),1,0)</f>
        <v>0</v>
      </c>
      <c r="BF73" s="334">
        <f t="shared" si="14"/>
        <v>63</v>
      </c>
    </row>
    <row r="74" spans="1:58" ht="14.25" x14ac:dyDescent="0.3">
      <c r="A74" s="358">
        <f t="shared" si="15"/>
        <v>0</v>
      </c>
      <c r="B74" s="358">
        <f t="shared" si="16"/>
        <v>0</v>
      </c>
      <c r="C74" s="358">
        <f t="shared" si="17"/>
        <v>0</v>
      </c>
      <c r="D74" s="358">
        <f t="shared" si="18"/>
        <v>99999</v>
      </c>
      <c r="E74" s="358">
        <f t="shared" si="19"/>
        <v>9999</v>
      </c>
      <c r="F74" s="359" t="str">
        <f t="shared" ca="1" si="20"/>
        <v>90000000900000990000672368</v>
      </c>
      <c r="G74" s="398" t="b">
        <f t="shared" si="21"/>
        <v>1</v>
      </c>
      <c r="H74" s="399">
        <f t="shared" si="22"/>
        <v>64</v>
      </c>
      <c r="I74" s="400" t="s">
        <v>2005</v>
      </c>
      <c r="J74" s="401" t="s">
        <v>1054</v>
      </c>
      <c r="K74" s="402" t="s">
        <v>1054</v>
      </c>
      <c r="L74" s="402" t="s">
        <v>1054</v>
      </c>
      <c r="M74" s="403">
        <v>9999</v>
      </c>
      <c r="N74" s="404">
        <v>0</v>
      </c>
      <c r="O74" s="400" t="s">
        <v>2005</v>
      </c>
      <c r="P74" s="401" t="s">
        <v>1054</v>
      </c>
      <c r="Q74" s="402" t="s">
        <v>1054</v>
      </c>
      <c r="R74" s="402" t="s">
        <v>1054</v>
      </c>
      <c r="S74" s="403">
        <v>9999</v>
      </c>
      <c r="T74" s="404">
        <v>0</v>
      </c>
      <c r="U74" s="400" t="s">
        <v>2005</v>
      </c>
      <c r="V74" s="401" t="s">
        <v>1054</v>
      </c>
      <c r="W74" s="402" t="s">
        <v>1054</v>
      </c>
      <c r="X74" s="402" t="s">
        <v>1054</v>
      </c>
      <c r="Y74" s="403">
        <v>9999</v>
      </c>
      <c r="Z74" s="404">
        <v>0</v>
      </c>
      <c r="AA74" s="400" t="s">
        <v>2005</v>
      </c>
      <c r="AB74" s="401" t="s">
        <v>1054</v>
      </c>
      <c r="AC74" s="402" t="s">
        <v>1054</v>
      </c>
      <c r="AD74" s="402" t="s">
        <v>1054</v>
      </c>
      <c r="AE74" s="403">
        <v>9999</v>
      </c>
      <c r="AF74" s="404">
        <v>0</v>
      </c>
      <c r="AG74" s="409"/>
      <c r="AH74" s="445">
        <f>IF(TYPE(VLOOKUP(H74,Centrum!$A$3:$E$130,5,0))&lt;4,VLOOKUP(H74,Centrum!$A$3:$E$130,5,0),0)</f>
        <v>0</v>
      </c>
      <c r="AI74" s="405" t="str">
        <f>IF(N($AH74)&gt;0,VLOOKUP($AH74,Body!$A$4:$F$259,5,0),"")</f>
        <v/>
      </c>
      <c r="AJ74" s="406" t="str">
        <f>IF(N($AH74)&gt;0,VLOOKUP($AH74,Body!$A$4:$F$259,6,0),"")</f>
        <v/>
      </c>
      <c r="AK74" s="405" t="str">
        <f>IF(N($AH74)&gt;0,VLOOKUP($AH74,Body!$A$4:$F$259,2,0),"")</f>
        <v/>
      </c>
      <c r="AL74" s="407" t="str">
        <f t="shared" si="23"/>
        <v/>
      </c>
      <c r="AM74" s="408">
        <f t="shared" si="24"/>
        <v>0</v>
      </c>
      <c r="AN74" s="334">
        <f>IF(OR(TYPE(I74)&gt;1,TYPE(MATCH(I74,I75:I$139,0))&gt;1),0,MATCH(I74,I75:I$139,0))+IF(OR(TYPE(I74)&gt;1,TYPE(MATCH(I74,O$11:O$139,0))&gt;1),0,MATCH(I74,O$11:O$139,0))+IF(OR(TYPE(I74)&gt;1,TYPE(MATCH(I74,U$11:U$139,0))&gt;1),0,MATCH(I74,U$11:U$139,0))+IF(OR(TYPE(I74)&gt;1,TYPE(MATCH(I74,AA$11:AA$139,0))&gt;1),0,MATCH(I74,AA$11:AA$139,0))</f>
        <v>0</v>
      </c>
      <c r="AO74" s="334">
        <f>IF(OR(TYPE(O74)&gt;1,TYPE(MATCH(O74,I$11:I$139,0))&gt;1),0,MATCH(O74,I$11:I$139,0))+IF(OR(TYPE(O74)&gt;1,TYPE(MATCH(O74,O75:O$139,0))&gt;1),0,MATCH(O74,O75:O$139,0))+IF(OR(TYPE(O74)&gt;1,TYPE(MATCH(O74,U$11:U$139,0))&gt;1),0,MATCH(O74,U$11:U$139,0))+IF(OR(TYPE(O74)&gt;1,TYPE(MATCH(O74,AA$11:AA$139,0))&gt;1),0,MATCH(O74,AA$11:AA$139,0))</f>
        <v>0</v>
      </c>
      <c r="AP74" s="334">
        <f>IF(OR(TYPE(U74)&gt;1,TYPE(MATCH(U74,I$11:I$139,0))&gt;1),0,MATCH(U74,I$11:I$139,0))+IF(OR(TYPE(U74)&gt;1,TYPE(MATCH(U74,O$11:O$139,0))&gt;1),0,MATCH(U74,O$11:O$139,0))+IF(OR(TYPE(U74)&gt;1,TYPE(MATCH(U74,U75:U$139,0))&gt;1),0,MATCH(U74,U75:U$139,0))+IF(OR(TYPE(U74)&gt;1,TYPE(MATCH(U74,AA$11:AA$139,0))&gt;1),0,MATCH(U74,AA$11:AA$139,0))</f>
        <v>0</v>
      </c>
      <c r="AQ74" s="334">
        <f>IF(OR(TYPE(AA74)&gt;1,TYPE(MATCH(AA74,I$11:I$139,0))&gt;1),0,MATCH(AA74,I$11:I$139,0))+IF(OR(TYPE(AA74)&gt;1,TYPE(MATCH(AA74,O$11:O$139,0))&gt;1),0,MATCH(AA74,O$11:O$139,0))+IF(OR(TYPE(AA74)&gt;1,TYPE(MATCH(AA74,U$11:U$139,0))&gt;1),0,MATCH(U74,U$11:U$139,0))+IF(OR(TYPE(AA74)&gt;1,TYPE(MATCH(AA74,AA75:AA$139,0))&gt;1),0,MATCH(AA74,AA75:AA$139,0))</f>
        <v>0</v>
      </c>
      <c r="AR74" s="334">
        <f t="shared" si="25"/>
        <v>0</v>
      </c>
      <c r="AT74" s="333">
        <f t="shared" si="26"/>
        <v>0</v>
      </c>
      <c r="AU74" s="333">
        <f>IF(AND(N(I74)&gt;0,TYPE(VLOOKUP(I74,Hraci!$A$5:$A$800,1,0))&gt;3),1,0) + IF(AND(N(O74)&gt;0,TYPE(VLOOKUP(O74,Hraci!$A$5:$A$800,1,0))&gt;3),1,0) + IF(AND(N(U74)&gt;0,TYPE(VLOOKUP(U74,Hraci!$A$5:$A$800,1,0))&gt;3),1,0)</f>
        <v>0</v>
      </c>
      <c r="BF74" s="334">
        <f t="shared" si="14"/>
        <v>64</v>
      </c>
    </row>
    <row r="75" spans="1:58" ht="14.25" x14ac:dyDescent="0.3">
      <c r="A75" s="358">
        <f t="shared" ref="A75:A106" si="27">IF(OR(LEFT(J75,1)=" ",ISBLANK(J75)),0,1)+IF(OR(LEFT(P75,1)=" ",ISBLANK(P75)),0,1)+IF(OR(LEFT(V75,1)=" ",ISBLANK(V75)),0,1)</f>
        <v>0</v>
      </c>
      <c r="B75" s="358">
        <f t="shared" ref="B75:B106" si="28">IF(AND(TYPE(G75&lt;15),G75=FALSE),1,0)</f>
        <v>0</v>
      </c>
      <c r="C75" s="358">
        <f t="shared" ref="C75:C106" si="29">IF(B75=0,0,N75+T75+Z75)</f>
        <v>0</v>
      </c>
      <c r="D75" s="358">
        <f t="shared" ref="D75:D106" si="30">IF(B75=0,99999,M75+S75+Y75)</f>
        <v>99999</v>
      </c>
      <c r="E75" s="358">
        <f t="shared" ref="E75:E106" si="31">MIN(M75,S75,Y75)</f>
        <v>9999</v>
      </c>
      <c r="F75" s="359" t="str">
        <f t="shared" ref="F75:F106" ca="1" si="32">CONCATENATE(IF(AND($P$4=1,H75&gt;$O$7),"0","9"),TEXT(B75,"0"),IF(AND($P$4=1,H75&gt;$O$7),"000000",TEXT(1000*C75,"000000")),IF(AND($P$4=1,H75&gt;$O$7),"000000",TEXT(999999-D75,"000000")),IF(AND($P$4=1,H75&gt;$O$7),"000000",TEXT(999999-E75,"000000")),TEXT(999999*RAND(),"000000"))</f>
        <v>90000000900000990000236315</v>
      </c>
      <c r="G75" s="398" t="b">
        <f t="shared" ref="G75:G106" si="33">IF(OR($K$6&gt;A75,AR75&gt;0),TRUE,FALSE)</f>
        <v>1</v>
      </c>
      <c r="H75" s="399">
        <f t="shared" ref="H75:H106" si="34">ROW(H75)-10</f>
        <v>65</v>
      </c>
      <c r="I75" s="400" t="s">
        <v>2005</v>
      </c>
      <c r="J75" s="401" t="s">
        <v>1054</v>
      </c>
      <c r="K75" s="402" t="s">
        <v>1054</v>
      </c>
      <c r="L75" s="402" t="s">
        <v>1054</v>
      </c>
      <c r="M75" s="403">
        <v>9999</v>
      </c>
      <c r="N75" s="404">
        <v>0</v>
      </c>
      <c r="O75" s="400" t="s">
        <v>2005</v>
      </c>
      <c r="P75" s="401" t="s">
        <v>1054</v>
      </c>
      <c r="Q75" s="402" t="s">
        <v>1054</v>
      </c>
      <c r="R75" s="402" t="s">
        <v>1054</v>
      </c>
      <c r="S75" s="403">
        <v>9999</v>
      </c>
      <c r="T75" s="404">
        <v>0</v>
      </c>
      <c r="U75" s="400" t="s">
        <v>2005</v>
      </c>
      <c r="V75" s="401" t="s">
        <v>1054</v>
      </c>
      <c r="W75" s="402" t="s">
        <v>1054</v>
      </c>
      <c r="X75" s="402" t="s">
        <v>1054</v>
      </c>
      <c r="Y75" s="403">
        <v>9999</v>
      </c>
      <c r="Z75" s="404">
        <v>0</v>
      </c>
      <c r="AA75" s="400" t="s">
        <v>2005</v>
      </c>
      <c r="AB75" s="401" t="s">
        <v>1054</v>
      </c>
      <c r="AC75" s="402" t="s">
        <v>1054</v>
      </c>
      <c r="AD75" s="402" t="s">
        <v>1054</v>
      </c>
      <c r="AE75" s="403">
        <v>9999</v>
      </c>
      <c r="AF75" s="404">
        <v>0</v>
      </c>
      <c r="AG75" s="409"/>
      <c r="AH75" s="445">
        <f>IF(TYPE(VLOOKUP(H75,Centrum!$A$3:$E$130,5,0))&lt;4,VLOOKUP(H75,Centrum!$A$3:$E$130,5,0),0)</f>
        <v>0</v>
      </c>
      <c r="AI75" s="405" t="str">
        <f>IF(N($AH75)&gt;0,VLOOKUP($AH75,Body!$A$4:$F$259,5,0),"")</f>
        <v/>
      </c>
      <c r="AJ75" s="406" t="str">
        <f>IF(N($AH75)&gt;0,VLOOKUP($AH75,Body!$A$4:$F$259,6,0),"")</f>
        <v/>
      </c>
      <c r="AK75" s="405" t="str">
        <f>IF(N($AH75)&gt;0,VLOOKUP($AH75,Body!$A$4:$F$259,2,0),"")</f>
        <v/>
      </c>
      <c r="AL75" s="407" t="str">
        <f t="shared" ref="AL75:AL106" si="35">IF(N(H75)&gt;$K$7,"",CONCATENATE(IF($Y$9="","",H75&amp;" "),L75,IF(L75="",""," - "),J75," ",K75))</f>
        <v/>
      </c>
      <c r="AM75" s="408">
        <f t="shared" ref="AM75:AM106" si="36">C75</f>
        <v>0</v>
      </c>
      <c r="AN75" s="334">
        <f>IF(OR(TYPE(I75)&gt;1,TYPE(MATCH(I75,I76:I$139,0))&gt;1),0,MATCH(I75,I76:I$139,0))+IF(OR(TYPE(I75)&gt;1,TYPE(MATCH(I75,O$11:O$139,0))&gt;1),0,MATCH(I75,O$11:O$139,0))+IF(OR(TYPE(I75)&gt;1,TYPE(MATCH(I75,U$11:U$139,0))&gt;1),0,MATCH(I75,U$11:U$139,0))+IF(OR(TYPE(I75)&gt;1,TYPE(MATCH(I75,AA$11:AA$139,0))&gt;1),0,MATCH(I75,AA$11:AA$139,0))</f>
        <v>0</v>
      </c>
      <c r="AO75" s="334">
        <f>IF(OR(TYPE(O75)&gt;1,TYPE(MATCH(O75,I$11:I$139,0))&gt;1),0,MATCH(O75,I$11:I$139,0))+IF(OR(TYPE(O75)&gt;1,TYPE(MATCH(O75,O76:O$139,0))&gt;1),0,MATCH(O75,O76:O$139,0))+IF(OR(TYPE(O75)&gt;1,TYPE(MATCH(O75,U$11:U$139,0))&gt;1),0,MATCH(O75,U$11:U$139,0))+IF(OR(TYPE(O75)&gt;1,TYPE(MATCH(O75,AA$11:AA$139,0))&gt;1),0,MATCH(O75,AA$11:AA$139,0))</f>
        <v>0</v>
      </c>
      <c r="AP75" s="334">
        <f>IF(OR(TYPE(U75)&gt;1,TYPE(MATCH(U75,I$11:I$139,0))&gt;1),0,MATCH(U75,I$11:I$139,0))+IF(OR(TYPE(U75)&gt;1,TYPE(MATCH(U75,O$11:O$139,0))&gt;1),0,MATCH(U75,O$11:O$139,0))+IF(OR(TYPE(U75)&gt;1,TYPE(MATCH(U75,U76:U$139,0))&gt;1),0,MATCH(U75,U76:U$139,0))+IF(OR(TYPE(U75)&gt;1,TYPE(MATCH(U75,AA$11:AA$139,0))&gt;1),0,MATCH(U75,AA$11:AA$139,0))</f>
        <v>0</v>
      </c>
      <c r="AQ75" s="334">
        <f>IF(OR(TYPE(AA75)&gt;1,TYPE(MATCH(AA75,I$11:I$139,0))&gt;1),0,MATCH(AA75,I$11:I$139,0))+IF(OR(TYPE(AA75)&gt;1,TYPE(MATCH(AA75,O$11:O$139,0))&gt;1),0,MATCH(AA75,O$11:O$139,0))+IF(OR(TYPE(AA75)&gt;1,TYPE(MATCH(AA75,U$11:U$139,0))&gt;1),0,MATCH(U75,U$11:U$139,0))+IF(OR(TYPE(AA75)&gt;1,TYPE(MATCH(AA75,AA76:AA$139,0))&gt;1),0,MATCH(AA75,AA76:AA$139,0))</f>
        <v>0</v>
      </c>
      <c r="AR75" s="334">
        <f t="shared" ref="AR75:AR106" si="37">SUM(AN75:AQ75)</f>
        <v>0</v>
      </c>
      <c r="AT75" s="333">
        <f t="shared" ref="AT75:AT106" si="38">IF(AU75=$K$6,1,0)</f>
        <v>0</v>
      </c>
      <c r="AU75" s="333">
        <f>IF(AND(N(I75)&gt;0,TYPE(VLOOKUP(I75,Hraci!$A$5:$A$800,1,0))&gt;3),1,0) + IF(AND(N(O75)&gt;0,TYPE(VLOOKUP(O75,Hraci!$A$5:$A$800,1,0))&gt;3),1,0) + IF(AND(N(U75)&gt;0,TYPE(VLOOKUP(U75,Hraci!$A$5:$A$800,1,0))&gt;3),1,0)</f>
        <v>0</v>
      </c>
      <c r="BF75" s="334">
        <f t="shared" si="14"/>
        <v>65</v>
      </c>
    </row>
    <row r="76" spans="1:58" ht="14.25" x14ac:dyDescent="0.3">
      <c r="A76" s="358">
        <f t="shared" si="27"/>
        <v>0</v>
      </c>
      <c r="B76" s="358">
        <f t="shared" si="28"/>
        <v>0</v>
      </c>
      <c r="C76" s="358">
        <f t="shared" si="29"/>
        <v>0</v>
      </c>
      <c r="D76" s="358">
        <f t="shared" si="30"/>
        <v>99999</v>
      </c>
      <c r="E76" s="358">
        <f t="shared" si="31"/>
        <v>9999</v>
      </c>
      <c r="F76" s="359" t="str">
        <f t="shared" ca="1" si="32"/>
        <v>90000000900000990000124375</v>
      </c>
      <c r="G76" s="398" t="b">
        <f t="shared" si="33"/>
        <v>1</v>
      </c>
      <c r="H76" s="399">
        <f t="shared" si="34"/>
        <v>66</v>
      </c>
      <c r="I76" s="400" t="s">
        <v>2005</v>
      </c>
      <c r="J76" s="401" t="s">
        <v>1054</v>
      </c>
      <c r="K76" s="402" t="s">
        <v>1054</v>
      </c>
      <c r="L76" s="402" t="s">
        <v>1054</v>
      </c>
      <c r="M76" s="403">
        <v>9999</v>
      </c>
      <c r="N76" s="404">
        <v>0</v>
      </c>
      <c r="O76" s="400" t="s">
        <v>2005</v>
      </c>
      <c r="P76" s="401" t="s">
        <v>1054</v>
      </c>
      <c r="Q76" s="402" t="s">
        <v>1054</v>
      </c>
      <c r="R76" s="402" t="s">
        <v>1054</v>
      </c>
      <c r="S76" s="403">
        <v>9999</v>
      </c>
      <c r="T76" s="404">
        <v>0</v>
      </c>
      <c r="U76" s="400" t="s">
        <v>2005</v>
      </c>
      <c r="V76" s="401" t="s">
        <v>1054</v>
      </c>
      <c r="W76" s="402" t="s">
        <v>1054</v>
      </c>
      <c r="X76" s="402" t="s">
        <v>1054</v>
      </c>
      <c r="Y76" s="403">
        <v>9999</v>
      </c>
      <c r="Z76" s="404">
        <v>0</v>
      </c>
      <c r="AA76" s="400" t="s">
        <v>2005</v>
      </c>
      <c r="AB76" s="401" t="s">
        <v>1054</v>
      </c>
      <c r="AC76" s="402" t="s">
        <v>1054</v>
      </c>
      <c r="AD76" s="402" t="s">
        <v>1054</v>
      </c>
      <c r="AE76" s="403">
        <v>9999</v>
      </c>
      <c r="AF76" s="404">
        <v>0</v>
      </c>
      <c r="AG76" s="409"/>
      <c r="AH76" s="445">
        <f>IF(TYPE(VLOOKUP(H76,Centrum!$A$3:$E$130,5,0))&lt;4,VLOOKUP(H76,Centrum!$A$3:$E$130,5,0),0)</f>
        <v>0</v>
      </c>
      <c r="AI76" s="405" t="str">
        <f>IF(N($AH76)&gt;0,VLOOKUP($AH76,Body!$A$4:$F$259,5,0),"")</f>
        <v/>
      </c>
      <c r="AJ76" s="406" t="str">
        <f>IF(N($AH76)&gt;0,VLOOKUP($AH76,Body!$A$4:$F$259,6,0),"")</f>
        <v/>
      </c>
      <c r="AK76" s="405" t="str">
        <f>IF(N($AH76)&gt;0,VLOOKUP($AH76,Body!$A$4:$F$259,2,0),"")</f>
        <v/>
      </c>
      <c r="AL76" s="407" t="str">
        <f t="shared" si="35"/>
        <v/>
      </c>
      <c r="AM76" s="408">
        <f t="shared" si="36"/>
        <v>0</v>
      </c>
      <c r="AN76" s="334">
        <f>IF(OR(TYPE(I76)&gt;1,TYPE(MATCH(I76,I77:I$139,0))&gt;1),0,MATCH(I76,I77:I$139,0))+IF(OR(TYPE(I76)&gt;1,TYPE(MATCH(I76,O$11:O$139,0))&gt;1),0,MATCH(I76,O$11:O$139,0))+IF(OR(TYPE(I76)&gt;1,TYPE(MATCH(I76,U$11:U$139,0))&gt;1),0,MATCH(I76,U$11:U$139,0))+IF(OR(TYPE(I76)&gt;1,TYPE(MATCH(I76,AA$11:AA$139,0))&gt;1),0,MATCH(I76,AA$11:AA$139,0))</f>
        <v>0</v>
      </c>
      <c r="AO76" s="334">
        <f>IF(OR(TYPE(O76)&gt;1,TYPE(MATCH(O76,I$11:I$139,0))&gt;1),0,MATCH(O76,I$11:I$139,0))+IF(OR(TYPE(O76)&gt;1,TYPE(MATCH(O76,O77:O$139,0))&gt;1),0,MATCH(O76,O77:O$139,0))+IF(OR(TYPE(O76)&gt;1,TYPE(MATCH(O76,U$11:U$139,0))&gt;1),0,MATCH(O76,U$11:U$139,0))+IF(OR(TYPE(O76)&gt;1,TYPE(MATCH(O76,AA$11:AA$139,0))&gt;1),0,MATCH(O76,AA$11:AA$139,0))</f>
        <v>0</v>
      </c>
      <c r="AP76" s="334">
        <f>IF(OR(TYPE(U76)&gt;1,TYPE(MATCH(U76,I$11:I$139,0))&gt;1),0,MATCH(U76,I$11:I$139,0))+IF(OR(TYPE(U76)&gt;1,TYPE(MATCH(U76,O$11:O$139,0))&gt;1),0,MATCH(U76,O$11:O$139,0))+IF(OR(TYPE(U76)&gt;1,TYPE(MATCH(U76,U77:U$139,0))&gt;1),0,MATCH(U76,U77:U$139,0))+IF(OR(TYPE(U76)&gt;1,TYPE(MATCH(U76,AA$11:AA$139,0))&gt;1),0,MATCH(U76,AA$11:AA$139,0))</f>
        <v>0</v>
      </c>
      <c r="AQ76" s="334">
        <f>IF(OR(TYPE(AA76)&gt;1,TYPE(MATCH(AA76,I$11:I$139,0))&gt;1),0,MATCH(AA76,I$11:I$139,0))+IF(OR(TYPE(AA76)&gt;1,TYPE(MATCH(AA76,O$11:O$139,0))&gt;1),0,MATCH(AA76,O$11:O$139,0))+IF(OR(TYPE(AA76)&gt;1,TYPE(MATCH(AA76,U$11:U$139,0))&gt;1),0,MATCH(U76,U$11:U$139,0))+IF(OR(TYPE(AA76)&gt;1,TYPE(MATCH(AA76,AA77:AA$139,0))&gt;1),0,MATCH(AA76,AA77:AA$139,0))</f>
        <v>0</v>
      </c>
      <c r="AR76" s="334">
        <f t="shared" si="37"/>
        <v>0</v>
      </c>
      <c r="AT76" s="333">
        <f t="shared" si="38"/>
        <v>0</v>
      </c>
      <c r="AU76" s="333">
        <f>IF(AND(N(I76)&gt;0,TYPE(VLOOKUP(I76,Hraci!$A$5:$A$800,1,0))&gt;3),1,0) + IF(AND(N(O76)&gt;0,TYPE(VLOOKUP(O76,Hraci!$A$5:$A$800,1,0))&gt;3),1,0) + IF(AND(N(U76)&gt;0,TYPE(VLOOKUP(U76,Hraci!$A$5:$A$800,1,0))&gt;3),1,0)</f>
        <v>0</v>
      </c>
      <c r="BF76" s="334">
        <f t="shared" ref="BF76:BF138" si="39">H76</f>
        <v>66</v>
      </c>
    </row>
    <row r="77" spans="1:58" ht="14.25" x14ac:dyDescent="0.3">
      <c r="A77" s="358">
        <f t="shared" si="27"/>
        <v>0</v>
      </c>
      <c r="B77" s="358">
        <f t="shared" si="28"/>
        <v>0</v>
      </c>
      <c r="C77" s="358">
        <f t="shared" si="29"/>
        <v>0</v>
      </c>
      <c r="D77" s="358">
        <f t="shared" si="30"/>
        <v>99999</v>
      </c>
      <c r="E77" s="358">
        <f t="shared" si="31"/>
        <v>9999</v>
      </c>
      <c r="F77" s="359" t="str">
        <f t="shared" ca="1" si="32"/>
        <v>90000000900000990000976138</v>
      </c>
      <c r="G77" s="398" t="b">
        <f t="shared" si="33"/>
        <v>1</v>
      </c>
      <c r="H77" s="399">
        <f t="shared" si="34"/>
        <v>67</v>
      </c>
      <c r="I77" s="400" t="s">
        <v>2005</v>
      </c>
      <c r="J77" s="401" t="s">
        <v>1054</v>
      </c>
      <c r="K77" s="402" t="s">
        <v>1054</v>
      </c>
      <c r="L77" s="402" t="s">
        <v>1054</v>
      </c>
      <c r="M77" s="403">
        <v>9999</v>
      </c>
      <c r="N77" s="404">
        <v>0</v>
      </c>
      <c r="O77" s="400" t="s">
        <v>2005</v>
      </c>
      <c r="P77" s="401" t="s">
        <v>1054</v>
      </c>
      <c r="Q77" s="402" t="s">
        <v>1054</v>
      </c>
      <c r="R77" s="402" t="s">
        <v>1054</v>
      </c>
      <c r="S77" s="403">
        <v>9999</v>
      </c>
      <c r="T77" s="404">
        <v>0</v>
      </c>
      <c r="U77" s="400" t="s">
        <v>2005</v>
      </c>
      <c r="V77" s="401" t="s">
        <v>1054</v>
      </c>
      <c r="W77" s="402" t="s">
        <v>1054</v>
      </c>
      <c r="X77" s="402" t="s">
        <v>1054</v>
      </c>
      <c r="Y77" s="403">
        <v>9999</v>
      </c>
      <c r="Z77" s="404">
        <v>0</v>
      </c>
      <c r="AA77" s="400" t="s">
        <v>2005</v>
      </c>
      <c r="AB77" s="401" t="s">
        <v>1054</v>
      </c>
      <c r="AC77" s="402" t="s">
        <v>1054</v>
      </c>
      <c r="AD77" s="402" t="s">
        <v>1054</v>
      </c>
      <c r="AE77" s="403">
        <v>9999</v>
      </c>
      <c r="AF77" s="404">
        <v>0</v>
      </c>
      <c r="AG77" s="409"/>
      <c r="AH77" s="445">
        <f>IF(TYPE(VLOOKUP(H77,Centrum!$A$3:$E$130,5,0))&lt;4,VLOOKUP(H77,Centrum!$A$3:$E$130,5,0),0)</f>
        <v>0</v>
      </c>
      <c r="AI77" s="405" t="str">
        <f>IF(N($AH77)&gt;0,VLOOKUP($AH77,Body!$A$4:$F$259,5,0),"")</f>
        <v/>
      </c>
      <c r="AJ77" s="406" t="str">
        <f>IF(N($AH77)&gt;0,VLOOKUP($AH77,Body!$A$4:$F$259,6,0),"")</f>
        <v/>
      </c>
      <c r="AK77" s="405" t="str">
        <f>IF(N($AH77)&gt;0,VLOOKUP($AH77,Body!$A$4:$F$259,2,0),"")</f>
        <v/>
      </c>
      <c r="AL77" s="407" t="str">
        <f t="shared" si="35"/>
        <v/>
      </c>
      <c r="AM77" s="408">
        <f t="shared" si="36"/>
        <v>0</v>
      </c>
      <c r="AN77" s="334">
        <f>IF(OR(TYPE(I77)&gt;1,TYPE(MATCH(I77,I78:I$139,0))&gt;1),0,MATCH(I77,I78:I$139,0))+IF(OR(TYPE(I77)&gt;1,TYPE(MATCH(I77,O$11:O$139,0))&gt;1),0,MATCH(I77,O$11:O$139,0))+IF(OR(TYPE(I77)&gt;1,TYPE(MATCH(I77,U$11:U$139,0))&gt;1),0,MATCH(I77,U$11:U$139,0))+IF(OR(TYPE(I77)&gt;1,TYPE(MATCH(I77,AA$11:AA$139,0))&gt;1),0,MATCH(I77,AA$11:AA$139,0))</f>
        <v>0</v>
      </c>
      <c r="AO77" s="334">
        <f>IF(OR(TYPE(O77)&gt;1,TYPE(MATCH(O77,I$11:I$139,0))&gt;1),0,MATCH(O77,I$11:I$139,0))+IF(OR(TYPE(O77)&gt;1,TYPE(MATCH(O77,O78:O$139,0))&gt;1),0,MATCH(O77,O78:O$139,0))+IF(OR(TYPE(O77)&gt;1,TYPE(MATCH(O77,U$11:U$139,0))&gt;1),0,MATCH(O77,U$11:U$139,0))+IF(OR(TYPE(O77)&gt;1,TYPE(MATCH(O77,AA$11:AA$139,0))&gt;1),0,MATCH(O77,AA$11:AA$139,0))</f>
        <v>0</v>
      </c>
      <c r="AP77" s="334">
        <f>IF(OR(TYPE(U77)&gt;1,TYPE(MATCH(U77,I$11:I$139,0))&gt;1),0,MATCH(U77,I$11:I$139,0))+IF(OR(TYPE(U77)&gt;1,TYPE(MATCH(U77,O$11:O$139,0))&gt;1),0,MATCH(U77,O$11:O$139,0))+IF(OR(TYPE(U77)&gt;1,TYPE(MATCH(U77,U78:U$139,0))&gt;1),0,MATCH(U77,U78:U$139,0))+IF(OR(TYPE(U77)&gt;1,TYPE(MATCH(U77,AA$11:AA$139,0))&gt;1),0,MATCH(U77,AA$11:AA$139,0))</f>
        <v>0</v>
      </c>
      <c r="AQ77" s="334">
        <f>IF(OR(TYPE(AA77)&gt;1,TYPE(MATCH(AA77,I$11:I$139,0))&gt;1),0,MATCH(AA77,I$11:I$139,0))+IF(OR(TYPE(AA77)&gt;1,TYPE(MATCH(AA77,O$11:O$139,0))&gt;1),0,MATCH(AA77,O$11:O$139,0))+IF(OR(TYPE(AA77)&gt;1,TYPE(MATCH(AA77,U$11:U$139,0))&gt;1),0,MATCH(U77,U$11:U$139,0))+IF(OR(TYPE(AA77)&gt;1,TYPE(MATCH(AA77,AA78:AA$139,0))&gt;1),0,MATCH(AA77,AA78:AA$139,0))</f>
        <v>0</v>
      </c>
      <c r="AR77" s="334">
        <f t="shared" si="37"/>
        <v>0</v>
      </c>
      <c r="AT77" s="333">
        <f t="shared" si="38"/>
        <v>0</v>
      </c>
      <c r="AU77" s="333">
        <f>IF(AND(N(I77)&gt;0,TYPE(VLOOKUP(I77,Hraci!$A$5:$A$800,1,0))&gt;3),1,0) + IF(AND(N(O77)&gt;0,TYPE(VLOOKUP(O77,Hraci!$A$5:$A$800,1,0))&gt;3),1,0) + IF(AND(N(U77)&gt;0,TYPE(VLOOKUP(U77,Hraci!$A$5:$A$800,1,0))&gt;3),1,0)</f>
        <v>0</v>
      </c>
      <c r="BF77" s="334">
        <f t="shared" si="39"/>
        <v>67</v>
      </c>
    </row>
    <row r="78" spans="1:58" ht="14.25" x14ac:dyDescent="0.3">
      <c r="A78" s="358">
        <f t="shared" si="27"/>
        <v>0</v>
      </c>
      <c r="B78" s="358">
        <f t="shared" si="28"/>
        <v>0</v>
      </c>
      <c r="C78" s="358">
        <f t="shared" si="29"/>
        <v>0</v>
      </c>
      <c r="D78" s="358">
        <f t="shared" si="30"/>
        <v>99999</v>
      </c>
      <c r="E78" s="358">
        <f t="shared" si="31"/>
        <v>9999</v>
      </c>
      <c r="F78" s="359" t="str">
        <f t="shared" ca="1" si="32"/>
        <v>90000000900000990000587412</v>
      </c>
      <c r="G78" s="398" t="b">
        <f t="shared" si="33"/>
        <v>1</v>
      </c>
      <c r="H78" s="399">
        <f t="shared" si="34"/>
        <v>68</v>
      </c>
      <c r="I78" s="400" t="s">
        <v>2005</v>
      </c>
      <c r="J78" s="401" t="s">
        <v>1054</v>
      </c>
      <c r="K78" s="402" t="s">
        <v>1054</v>
      </c>
      <c r="L78" s="402" t="s">
        <v>1054</v>
      </c>
      <c r="M78" s="403">
        <v>9999</v>
      </c>
      <c r="N78" s="404">
        <v>0</v>
      </c>
      <c r="O78" s="400" t="s">
        <v>2005</v>
      </c>
      <c r="P78" s="401" t="s">
        <v>1054</v>
      </c>
      <c r="Q78" s="402" t="s">
        <v>1054</v>
      </c>
      <c r="R78" s="402" t="s">
        <v>1054</v>
      </c>
      <c r="S78" s="403">
        <v>9999</v>
      </c>
      <c r="T78" s="404">
        <v>0</v>
      </c>
      <c r="U78" s="400" t="s">
        <v>2005</v>
      </c>
      <c r="V78" s="401" t="s">
        <v>1054</v>
      </c>
      <c r="W78" s="402" t="s">
        <v>1054</v>
      </c>
      <c r="X78" s="402" t="s">
        <v>1054</v>
      </c>
      <c r="Y78" s="403">
        <v>9999</v>
      </c>
      <c r="Z78" s="404">
        <v>0</v>
      </c>
      <c r="AA78" s="400" t="s">
        <v>2005</v>
      </c>
      <c r="AB78" s="401" t="s">
        <v>1054</v>
      </c>
      <c r="AC78" s="402" t="s">
        <v>1054</v>
      </c>
      <c r="AD78" s="402" t="s">
        <v>1054</v>
      </c>
      <c r="AE78" s="403">
        <v>9999</v>
      </c>
      <c r="AF78" s="404">
        <v>0</v>
      </c>
      <c r="AG78" s="409"/>
      <c r="AH78" s="445">
        <f>IF(TYPE(VLOOKUP(H78,Centrum!$A$3:$E$130,5,0))&lt;4,VLOOKUP(H78,Centrum!$A$3:$E$130,5,0),0)</f>
        <v>0</v>
      </c>
      <c r="AI78" s="405" t="str">
        <f>IF(N($AH78)&gt;0,VLOOKUP($AH78,Body!$A$4:$F$259,5,0),"")</f>
        <v/>
      </c>
      <c r="AJ78" s="406" t="str">
        <f>IF(N($AH78)&gt;0,VLOOKUP($AH78,Body!$A$4:$F$259,6,0),"")</f>
        <v/>
      </c>
      <c r="AK78" s="405" t="str">
        <f>IF(N($AH78)&gt;0,VLOOKUP($AH78,Body!$A$4:$F$259,2,0),"")</f>
        <v/>
      </c>
      <c r="AL78" s="407" t="str">
        <f t="shared" si="35"/>
        <v/>
      </c>
      <c r="AM78" s="408">
        <f t="shared" si="36"/>
        <v>0</v>
      </c>
      <c r="AN78" s="334">
        <f>IF(OR(TYPE(I78)&gt;1,TYPE(MATCH(I78,I79:I$139,0))&gt;1),0,MATCH(I78,I79:I$139,0))+IF(OR(TYPE(I78)&gt;1,TYPE(MATCH(I78,O$11:O$139,0))&gt;1),0,MATCH(I78,O$11:O$139,0))+IF(OR(TYPE(I78)&gt;1,TYPE(MATCH(I78,U$11:U$139,0))&gt;1),0,MATCH(I78,U$11:U$139,0))+IF(OR(TYPE(I78)&gt;1,TYPE(MATCH(I78,AA$11:AA$139,0))&gt;1),0,MATCH(I78,AA$11:AA$139,0))</f>
        <v>0</v>
      </c>
      <c r="AO78" s="334">
        <f>IF(OR(TYPE(O78)&gt;1,TYPE(MATCH(O78,I$11:I$139,0))&gt;1),0,MATCH(O78,I$11:I$139,0))+IF(OR(TYPE(O78)&gt;1,TYPE(MATCH(O78,O79:O$139,0))&gt;1),0,MATCH(O78,O79:O$139,0))+IF(OR(TYPE(O78)&gt;1,TYPE(MATCH(O78,U$11:U$139,0))&gt;1),0,MATCH(O78,U$11:U$139,0))+IF(OR(TYPE(O78)&gt;1,TYPE(MATCH(O78,AA$11:AA$139,0))&gt;1),0,MATCH(O78,AA$11:AA$139,0))</f>
        <v>0</v>
      </c>
      <c r="AP78" s="334">
        <f>IF(OR(TYPE(U78)&gt;1,TYPE(MATCH(U78,I$11:I$139,0))&gt;1),0,MATCH(U78,I$11:I$139,0))+IF(OR(TYPE(U78)&gt;1,TYPE(MATCH(U78,O$11:O$139,0))&gt;1),0,MATCH(U78,O$11:O$139,0))+IF(OR(TYPE(U78)&gt;1,TYPE(MATCH(U78,U79:U$139,0))&gt;1),0,MATCH(U78,U79:U$139,0))+IF(OR(TYPE(U78)&gt;1,TYPE(MATCH(U78,AA$11:AA$139,0))&gt;1),0,MATCH(U78,AA$11:AA$139,0))</f>
        <v>0</v>
      </c>
      <c r="AQ78" s="334">
        <f>IF(OR(TYPE(AA78)&gt;1,TYPE(MATCH(AA78,I$11:I$139,0))&gt;1),0,MATCH(AA78,I$11:I$139,0))+IF(OR(TYPE(AA78)&gt;1,TYPE(MATCH(AA78,O$11:O$139,0))&gt;1),0,MATCH(AA78,O$11:O$139,0))+IF(OR(TYPE(AA78)&gt;1,TYPE(MATCH(AA78,U$11:U$139,0))&gt;1),0,MATCH(U78,U$11:U$139,0))+IF(OR(TYPE(AA78)&gt;1,TYPE(MATCH(AA78,AA79:AA$139,0))&gt;1),0,MATCH(AA78,AA79:AA$139,0))</f>
        <v>0</v>
      </c>
      <c r="AR78" s="334">
        <f t="shared" si="37"/>
        <v>0</v>
      </c>
      <c r="AT78" s="333">
        <f t="shared" si="38"/>
        <v>0</v>
      </c>
      <c r="AU78" s="333">
        <f>IF(AND(N(I78)&gt;0,TYPE(VLOOKUP(I78,Hraci!$A$5:$A$800,1,0))&gt;3),1,0) + IF(AND(N(O78)&gt;0,TYPE(VLOOKUP(O78,Hraci!$A$5:$A$800,1,0))&gt;3),1,0) + IF(AND(N(U78)&gt;0,TYPE(VLOOKUP(U78,Hraci!$A$5:$A$800,1,0))&gt;3),1,0)</f>
        <v>0</v>
      </c>
      <c r="BF78" s="334">
        <f t="shared" si="39"/>
        <v>68</v>
      </c>
    </row>
    <row r="79" spans="1:58" ht="14.25" x14ac:dyDescent="0.3">
      <c r="A79" s="358">
        <f t="shared" si="27"/>
        <v>0</v>
      </c>
      <c r="B79" s="358">
        <f t="shared" si="28"/>
        <v>0</v>
      </c>
      <c r="C79" s="358">
        <f t="shared" si="29"/>
        <v>0</v>
      </c>
      <c r="D79" s="358">
        <f t="shared" si="30"/>
        <v>99999</v>
      </c>
      <c r="E79" s="358">
        <f t="shared" si="31"/>
        <v>9999</v>
      </c>
      <c r="F79" s="359" t="str">
        <f t="shared" ca="1" si="32"/>
        <v>90000000900000990000461657</v>
      </c>
      <c r="G79" s="398" t="b">
        <f t="shared" si="33"/>
        <v>1</v>
      </c>
      <c r="H79" s="399">
        <f t="shared" si="34"/>
        <v>69</v>
      </c>
      <c r="I79" s="400" t="s">
        <v>2005</v>
      </c>
      <c r="J79" s="401" t="s">
        <v>1054</v>
      </c>
      <c r="K79" s="402" t="s">
        <v>1054</v>
      </c>
      <c r="L79" s="402" t="s">
        <v>1054</v>
      </c>
      <c r="M79" s="403">
        <v>9999</v>
      </c>
      <c r="N79" s="404">
        <v>0</v>
      </c>
      <c r="O79" s="400" t="s">
        <v>2005</v>
      </c>
      <c r="P79" s="401" t="s">
        <v>1054</v>
      </c>
      <c r="Q79" s="402" t="s">
        <v>1054</v>
      </c>
      <c r="R79" s="402" t="s">
        <v>1054</v>
      </c>
      <c r="S79" s="403">
        <v>9999</v>
      </c>
      <c r="T79" s="404">
        <v>0</v>
      </c>
      <c r="U79" s="400" t="s">
        <v>2005</v>
      </c>
      <c r="V79" s="401" t="s">
        <v>1054</v>
      </c>
      <c r="W79" s="402" t="s">
        <v>1054</v>
      </c>
      <c r="X79" s="402" t="s">
        <v>1054</v>
      </c>
      <c r="Y79" s="403">
        <v>9999</v>
      </c>
      <c r="Z79" s="404">
        <v>0</v>
      </c>
      <c r="AA79" s="400" t="s">
        <v>2005</v>
      </c>
      <c r="AB79" s="401" t="s">
        <v>1054</v>
      </c>
      <c r="AC79" s="402" t="s">
        <v>1054</v>
      </c>
      <c r="AD79" s="402" t="s">
        <v>1054</v>
      </c>
      <c r="AE79" s="403">
        <v>9999</v>
      </c>
      <c r="AF79" s="404">
        <v>0</v>
      </c>
      <c r="AG79" s="409"/>
      <c r="AH79" s="445">
        <f>IF(TYPE(VLOOKUP(H79,Centrum!$A$3:$E$130,5,0))&lt;4,VLOOKUP(H79,Centrum!$A$3:$E$130,5,0),0)</f>
        <v>0</v>
      </c>
      <c r="AI79" s="405" t="str">
        <f>IF(N($AH79)&gt;0,VLOOKUP($AH79,Body!$A$4:$F$259,5,0),"")</f>
        <v/>
      </c>
      <c r="AJ79" s="406" t="str">
        <f>IF(N($AH79)&gt;0,VLOOKUP($AH79,Body!$A$4:$F$259,6,0),"")</f>
        <v/>
      </c>
      <c r="AK79" s="405" t="str">
        <f>IF(N($AH79)&gt;0,VLOOKUP($AH79,Body!$A$4:$F$259,2,0),"")</f>
        <v/>
      </c>
      <c r="AL79" s="407" t="str">
        <f t="shared" si="35"/>
        <v/>
      </c>
      <c r="AM79" s="408">
        <f t="shared" si="36"/>
        <v>0</v>
      </c>
      <c r="AN79" s="334">
        <f>IF(OR(TYPE(I79)&gt;1,TYPE(MATCH(I79,I80:I$139,0))&gt;1),0,MATCH(I79,I80:I$139,0))+IF(OR(TYPE(I79)&gt;1,TYPE(MATCH(I79,O$11:O$139,0))&gt;1),0,MATCH(I79,O$11:O$139,0))+IF(OR(TYPE(I79)&gt;1,TYPE(MATCH(I79,U$11:U$139,0))&gt;1),0,MATCH(I79,U$11:U$139,0))+IF(OR(TYPE(I79)&gt;1,TYPE(MATCH(I79,AA$11:AA$139,0))&gt;1),0,MATCH(I79,AA$11:AA$139,0))</f>
        <v>0</v>
      </c>
      <c r="AO79" s="334">
        <f>IF(OR(TYPE(O79)&gt;1,TYPE(MATCH(O79,I$11:I$139,0))&gt;1),0,MATCH(O79,I$11:I$139,0))+IF(OR(TYPE(O79)&gt;1,TYPE(MATCH(O79,O80:O$139,0))&gt;1),0,MATCH(O79,O80:O$139,0))+IF(OR(TYPE(O79)&gt;1,TYPE(MATCH(O79,U$11:U$139,0))&gt;1),0,MATCH(O79,U$11:U$139,0))+IF(OR(TYPE(O79)&gt;1,TYPE(MATCH(O79,AA$11:AA$139,0))&gt;1),0,MATCH(O79,AA$11:AA$139,0))</f>
        <v>0</v>
      </c>
      <c r="AP79" s="334">
        <f>IF(OR(TYPE(U79)&gt;1,TYPE(MATCH(U79,I$11:I$139,0))&gt;1),0,MATCH(U79,I$11:I$139,0))+IF(OR(TYPE(U79)&gt;1,TYPE(MATCH(U79,O$11:O$139,0))&gt;1),0,MATCH(U79,O$11:O$139,0))+IF(OR(TYPE(U79)&gt;1,TYPE(MATCH(U79,U80:U$139,0))&gt;1),0,MATCH(U79,U80:U$139,0))+IF(OR(TYPE(U79)&gt;1,TYPE(MATCH(U79,AA$11:AA$139,0))&gt;1),0,MATCH(U79,AA$11:AA$139,0))</f>
        <v>0</v>
      </c>
      <c r="AQ79" s="334">
        <f>IF(OR(TYPE(AA79)&gt;1,TYPE(MATCH(AA79,I$11:I$139,0))&gt;1),0,MATCH(AA79,I$11:I$139,0))+IF(OR(TYPE(AA79)&gt;1,TYPE(MATCH(AA79,O$11:O$139,0))&gt;1),0,MATCH(AA79,O$11:O$139,0))+IF(OR(TYPE(AA79)&gt;1,TYPE(MATCH(AA79,U$11:U$139,0))&gt;1),0,MATCH(U79,U$11:U$139,0))+IF(OR(TYPE(AA79)&gt;1,TYPE(MATCH(AA79,AA80:AA$139,0))&gt;1),0,MATCH(AA79,AA80:AA$139,0))</f>
        <v>0</v>
      </c>
      <c r="AR79" s="334">
        <f t="shared" si="37"/>
        <v>0</v>
      </c>
      <c r="AT79" s="333">
        <f t="shared" si="38"/>
        <v>0</v>
      </c>
      <c r="AU79" s="333">
        <f>IF(AND(N(I79)&gt;0,TYPE(VLOOKUP(I79,Hraci!$A$5:$A$800,1,0))&gt;3),1,0) + IF(AND(N(O79)&gt;0,TYPE(VLOOKUP(O79,Hraci!$A$5:$A$800,1,0))&gt;3),1,0) + IF(AND(N(U79)&gt;0,TYPE(VLOOKUP(U79,Hraci!$A$5:$A$800,1,0))&gt;3),1,0)</f>
        <v>0</v>
      </c>
      <c r="BF79" s="334">
        <f t="shared" si="39"/>
        <v>69</v>
      </c>
    </row>
    <row r="80" spans="1:58" ht="14.25" x14ac:dyDescent="0.3">
      <c r="A80" s="358">
        <f t="shared" si="27"/>
        <v>0</v>
      </c>
      <c r="B80" s="358">
        <f t="shared" si="28"/>
        <v>0</v>
      </c>
      <c r="C80" s="358">
        <f t="shared" si="29"/>
        <v>0</v>
      </c>
      <c r="D80" s="358">
        <f t="shared" si="30"/>
        <v>99999</v>
      </c>
      <c r="E80" s="358">
        <f t="shared" si="31"/>
        <v>9999</v>
      </c>
      <c r="F80" s="359" t="str">
        <f t="shared" ca="1" si="32"/>
        <v>90000000900000990000853735</v>
      </c>
      <c r="G80" s="398" t="b">
        <f t="shared" si="33"/>
        <v>1</v>
      </c>
      <c r="H80" s="399">
        <f t="shared" si="34"/>
        <v>70</v>
      </c>
      <c r="I80" s="400" t="s">
        <v>2005</v>
      </c>
      <c r="J80" s="401" t="s">
        <v>1054</v>
      </c>
      <c r="K80" s="402" t="s">
        <v>1054</v>
      </c>
      <c r="L80" s="402" t="s">
        <v>1054</v>
      </c>
      <c r="M80" s="403">
        <v>9999</v>
      </c>
      <c r="N80" s="404">
        <v>0</v>
      </c>
      <c r="O80" s="400" t="s">
        <v>2005</v>
      </c>
      <c r="P80" s="401" t="s">
        <v>1054</v>
      </c>
      <c r="Q80" s="402" t="s">
        <v>1054</v>
      </c>
      <c r="R80" s="402" t="s">
        <v>1054</v>
      </c>
      <c r="S80" s="403">
        <v>9999</v>
      </c>
      <c r="T80" s="404">
        <v>0</v>
      </c>
      <c r="U80" s="400" t="s">
        <v>2005</v>
      </c>
      <c r="V80" s="401" t="s">
        <v>1054</v>
      </c>
      <c r="W80" s="402" t="s">
        <v>1054</v>
      </c>
      <c r="X80" s="402" t="s">
        <v>1054</v>
      </c>
      <c r="Y80" s="403">
        <v>9999</v>
      </c>
      <c r="Z80" s="404">
        <v>0</v>
      </c>
      <c r="AA80" s="400" t="s">
        <v>2005</v>
      </c>
      <c r="AB80" s="401" t="s">
        <v>1054</v>
      </c>
      <c r="AC80" s="402" t="s">
        <v>1054</v>
      </c>
      <c r="AD80" s="402" t="s">
        <v>1054</v>
      </c>
      <c r="AE80" s="403">
        <v>9999</v>
      </c>
      <c r="AF80" s="404">
        <v>0</v>
      </c>
      <c r="AG80" s="409"/>
      <c r="AH80" s="445">
        <f>IF(TYPE(VLOOKUP(H80,Centrum!$A$3:$E$130,5,0))&lt;4,VLOOKUP(H80,Centrum!$A$3:$E$130,5,0),0)</f>
        <v>0</v>
      </c>
      <c r="AI80" s="405" t="str">
        <f>IF(N($AH80)&gt;0,VLOOKUP($AH80,Body!$A$4:$F$259,5,0),"")</f>
        <v/>
      </c>
      <c r="AJ80" s="406" t="str">
        <f>IF(N($AH80)&gt;0,VLOOKUP($AH80,Body!$A$4:$F$259,6,0),"")</f>
        <v/>
      </c>
      <c r="AK80" s="405" t="str">
        <f>IF(N($AH80)&gt;0,VLOOKUP($AH80,Body!$A$4:$F$259,2,0),"")</f>
        <v/>
      </c>
      <c r="AL80" s="407" t="str">
        <f t="shared" si="35"/>
        <v/>
      </c>
      <c r="AM80" s="408">
        <f t="shared" si="36"/>
        <v>0</v>
      </c>
      <c r="AN80" s="334">
        <f>IF(OR(TYPE(I80)&gt;1,TYPE(MATCH(I80,I81:I$139,0))&gt;1),0,MATCH(I80,I81:I$139,0))+IF(OR(TYPE(I80)&gt;1,TYPE(MATCH(I80,O$11:O$139,0))&gt;1),0,MATCH(I80,O$11:O$139,0))+IF(OR(TYPE(I80)&gt;1,TYPE(MATCH(I80,U$11:U$139,0))&gt;1),0,MATCH(I80,U$11:U$139,0))+IF(OR(TYPE(I80)&gt;1,TYPE(MATCH(I80,AA$11:AA$139,0))&gt;1),0,MATCH(I80,AA$11:AA$139,0))</f>
        <v>0</v>
      </c>
      <c r="AO80" s="334">
        <f>IF(OR(TYPE(O80)&gt;1,TYPE(MATCH(O80,I$11:I$139,0))&gt;1),0,MATCH(O80,I$11:I$139,0))+IF(OR(TYPE(O80)&gt;1,TYPE(MATCH(O80,O81:O$139,0))&gt;1),0,MATCH(O80,O81:O$139,0))+IF(OR(TYPE(O80)&gt;1,TYPE(MATCH(O80,U$11:U$139,0))&gt;1),0,MATCH(O80,U$11:U$139,0))+IF(OR(TYPE(O80)&gt;1,TYPE(MATCH(O80,AA$11:AA$139,0))&gt;1),0,MATCH(O80,AA$11:AA$139,0))</f>
        <v>0</v>
      </c>
      <c r="AP80" s="334">
        <f>IF(OR(TYPE(U80)&gt;1,TYPE(MATCH(U80,I$11:I$139,0))&gt;1),0,MATCH(U80,I$11:I$139,0))+IF(OR(TYPE(U80)&gt;1,TYPE(MATCH(U80,O$11:O$139,0))&gt;1),0,MATCH(U80,O$11:O$139,0))+IF(OR(TYPE(U80)&gt;1,TYPE(MATCH(U80,U81:U$139,0))&gt;1),0,MATCH(U80,U81:U$139,0))+IF(OR(TYPE(U80)&gt;1,TYPE(MATCH(U80,AA$11:AA$139,0))&gt;1),0,MATCH(U80,AA$11:AA$139,0))</f>
        <v>0</v>
      </c>
      <c r="AQ80" s="334">
        <f>IF(OR(TYPE(AA80)&gt;1,TYPE(MATCH(AA80,I$11:I$139,0))&gt;1),0,MATCH(AA80,I$11:I$139,0))+IF(OR(TYPE(AA80)&gt;1,TYPE(MATCH(AA80,O$11:O$139,0))&gt;1),0,MATCH(AA80,O$11:O$139,0))+IF(OR(TYPE(AA80)&gt;1,TYPE(MATCH(AA80,U$11:U$139,0))&gt;1),0,MATCH(U80,U$11:U$139,0))+IF(OR(TYPE(AA80)&gt;1,TYPE(MATCH(AA80,AA81:AA$139,0))&gt;1),0,MATCH(AA80,AA81:AA$139,0))</f>
        <v>0</v>
      </c>
      <c r="AR80" s="334">
        <f t="shared" si="37"/>
        <v>0</v>
      </c>
      <c r="AT80" s="333">
        <f t="shared" si="38"/>
        <v>0</v>
      </c>
      <c r="AU80" s="333">
        <f>IF(AND(N(I80)&gt;0,TYPE(VLOOKUP(I80,Hraci!$A$5:$A$800,1,0))&gt;3),1,0) + IF(AND(N(O80)&gt;0,TYPE(VLOOKUP(O80,Hraci!$A$5:$A$800,1,0))&gt;3),1,0) + IF(AND(N(U80)&gt;0,TYPE(VLOOKUP(U80,Hraci!$A$5:$A$800,1,0))&gt;3),1,0)</f>
        <v>0</v>
      </c>
      <c r="BF80" s="334">
        <f t="shared" si="39"/>
        <v>70</v>
      </c>
    </row>
    <row r="81" spans="1:58" ht="14.25" x14ac:dyDescent="0.3">
      <c r="A81" s="358">
        <f t="shared" si="27"/>
        <v>0</v>
      </c>
      <c r="B81" s="358">
        <f t="shared" si="28"/>
        <v>0</v>
      </c>
      <c r="C81" s="358">
        <f t="shared" si="29"/>
        <v>0</v>
      </c>
      <c r="D81" s="358">
        <f t="shared" si="30"/>
        <v>99999</v>
      </c>
      <c r="E81" s="358">
        <f t="shared" si="31"/>
        <v>9999</v>
      </c>
      <c r="F81" s="359" t="str">
        <f t="shared" ca="1" si="32"/>
        <v>90000000900000990000866157</v>
      </c>
      <c r="G81" s="398" t="b">
        <f t="shared" si="33"/>
        <v>1</v>
      </c>
      <c r="H81" s="399">
        <f t="shared" si="34"/>
        <v>71</v>
      </c>
      <c r="I81" s="400" t="s">
        <v>2005</v>
      </c>
      <c r="J81" s="401" t="s">
        <v>1054</v>
      </c>
      <c r="K81" s="402" t="s">
        <v>1054</v>
      </c>
      <c r="L81" s="402" t="s">
        <v>1054</v>
      </c>
      <c r="M81" s="403">
        <v>9999</v>
      </c>
      <c r="N81" s="404">
        <v>0</v>
      </c>
      <c r="O81" s="400" t="s">
        <v>2005</v>
      </c>
      <c r="P81" s="401" t="s">
        <v>1054</v>
      </c>
      <c r="Q81" s="402" t="s">
        <v>1054</v>
      </c>
      <c r="R81" s="402" t="s">
        <v>1054</v>
      </c>
      <c r="S81" s="403">
        <v>9999</v>
      </c>
      <c r="T81" s="404">
        <v>0</v>
      </c>
      <c r="U81" s="400" t="s">
        <v>2005</v>
      </c>
      <c r="V81" s="401" t="s">
        <v>1054</v>
      </c>
      <c r="W81" s="402" t="s">
        <v>1054</v>
      </c>
      <c r="X81" s="402" t="s">
        <v>1054</v>
      </c>
      <c r="Y81" s="403">
        <v>9999</v>
      </c>
      <c r="Z81" s="404">
        <v>0</v>
      </c>
      <c r="AA81" s="400" t="s">
        <v>2005</v>
      </c>
      <c r="AB81" s="401" t="s">
        <v>1054</v>
      </c>
      <c r="AC81" s="402" t="s">
        <v>1054</v>
      </c>
      <c r="AD81" s="402" t="s">
        <v>1054</v>
      </c>
      <c r="AE81" s="403">
        <v>9999</v>
      </c>
      <c r="AF81" s="404">
        <v>0</v>
      </c>
      <c r="AG81" s="409"/>
      <c r="AH81" s="445">
        <f>IF(TYPE(VLOOKUP(H81,Centrum!$A$3:$E$130,5,0))&lt;4,VLOOKUP(H81,Centrum!$A$3:$E$130,5,0),0)</f>
        <v>0</v>
      </c>
      <c r="AI81" s="405" t="str">
        <f>IF(N($AH81)&gt;0,VLOOKUP($AH81,Body!$A$4:$F$259,5,0),"")</f>
        <v/>
      </c>
      <c r="AJ81" s="406" t="str">
        <f>IF(N($AH81)&gt;0,VLOOKUP($AH81,Body!$A$4:$F$259,6,0),"")</f>
        <v/>
      </c>
      <c r="AK81" s="405" t="str">
        <f>IF(N($AH81)&gt;0,VLOOKUP($AH81,Body!$A$4:$F$259,2,0),"")</f>
        <v/>
      </c>
      <c r="AL81" s="407" t="str">
        <f t="shared" si="35"/>
        <v/>
      </c>
      <c r="AM81" s="408">
        <f t="shared" si="36"/>
        <v>0</v>
      </c>
      <c r="AN81" s="334">
        <f>IF(OR(TYPE(I81)&gt;1,TYPE(MATCH(I81,I82:I$139,0))&gt;1),0,MATCH(I81,I82:I$139,0))+IF(OR(TYPE(I81)&gt;1,TYPE(MATCH(I81,O$11:O$139,0))&gt;1),0,MATCH(I81,O$11:O$139,0))+IF(OR(TYPE(I81)&gt;1,TYPE(MATCH(I81,U$11:U$139,0))&gt;1),0,MATCH(I81,U$11:U$139,0))+IF(OR(TYPE(I81)&gt;1,TYPE(MATCH(I81,AA$11:AA$139,0))&gt;1),0,MATCH(I81,AA$11:AA$139,0))</f>
        <v>0</v>
      </c>
      <c r="AO81" s="334">
        <f>IF(OR(TYPE(O81)&gt;1,TYPE(MATCH(O81,I$11:I$139,0))&gt;1),0,MATCH(O81,I$11:I$139,0))+IF(OR(TYPE(O81)&gt;1,TYPE(MATCH(O81,O82:O$139,0))&gt;1),0,MATCH(O81,O82:O$139,0))+IF(OR(TYPE(O81)&gt;1,TYPE(MATCH(O81,U$11:U$139,0))&gt;1),0,MATCH(O81,U$11:U$139,0))+IF(OR(TYPE(O81)&gt;1,TYPE(MATCH(O81,AA$11:AA$139,0))&gt;1),0,MATCH(O81,AA$11:AA$139,0))</f>
        <v>0</v>
      </c>
      <c r="AP81" s="334">
        <f>IF(OR(TYPE(U81)&gt;1,TYPE(MATCH(U81,I$11:I$139,0))&gt;1),0,MATCH(U81,I$11:I$139,0))+IF(OR(TYPE(U81)&gt;1,TYPE(MATCH(U81,O$11:O$139,0))&gt;1),0,MATCH(U81,O$11:O$139,0))+IF(OR(TYPE(U81)&gt;1,TYPE(MATCH(U81,U82:U$139,0))&gt;1),0,MATCH(U81,U82:U$139,0))+IF(OR(TYPE(U81)&gt;1,TYPE(MATCH(U81,AA$11:AA$139,0))&gt;1),0,MATCH(U81,AA$11:AA$139,0))</f>
        <v>0</v>
      </c>
      <c r="AQ81" s="334">
        <f>IF(OR(TYPE(AA81)&gt;1,TYPE(MATCH(AA81,I$11:I$139,0))&gt;1),0,MATCH(AA81,I$11:I$139,0))+IF(OR(TYPE(AA81)&gt;1,TYPE(MATCH(AA81,O$11:O$139,0))&gt;1),0,MATCH(AA81,O$11:O$139,0))+IF(OR(TYPE(AA81)&gt;1,TYPE(MATCH(AA81,U$11:U$139,0))&gt;1),0,MATCH(U81,U$11:U$139,0))+IF(OR(TYPE(AA81)&gt;1,TYPE(MATCH(AA81,AA82:AA$139,0))&gt;1),0,MATCH(AA81,AA82:AA$139,0))</f>
        <v>0</v>
      </c>
      <c r="AR81" s="334">
        <f t="shared" si="37"/>
        <v>0</v>
      </c>
      <c r="AT81" s="333">
        <f t="shared" si="38"/>
        <v>0</v>
      </c>
      <c r="AU81" s="333">
        <f>IF(AND(N(I81)&gt;0,TYPE(VLOOKUP(I81,Hraci!$A$5:$A$800,1,0))&gt;3),1,0) + IF(AND(N(O81)&gt;0,TYPE(VLOOKUP(O81,Hraci!$A$5:$A$800,1,0))&gt;3),1,0) + IF(AND(N(U81)&gt;0,TYPE(VLOOKUP(U81,Hraci!$A$5:$A$800,1,0))&gt;3),1,0)</f>
        <v>0</v>
      </c>
      <c r="BF81" s="334">
        <f t="shared" si="39"/>
        <v>71</v>
      </c>
    </row>
    <row r="82" spans="1:58" ht="14.25" x14ac:dyDescent="0.3">
      <c r="A82" s="358">
        <f t="shared" si="27"/>
        <v>0</v>
      </c>
      <c r="B82" s="358">
        <f t="shared" si="28"/>
        <v>0</v>
      </c>
      <c r="C82" s="358">
        <f t="shared" si="29"/>
        <v>0</v>
      </c>
      <c r="D82" s="358">
        <f t="shared" si="30"/>
        <v>99999</v>
      </c>
      <c r="E82" s="358">
        <f t="shared" si="31"/>
        <v>9999</v>
      </c>
      <c r="F82" s="359" t="str">
        <f t="shared" ca="1" si="32"/>
        <v>90000000900000990000575105</v>
      </c>
      <c r="G82" s="398" t="b">
        <f t="shared" si="33"/>
        <v>1</v>
      </c>
      <c r="H82" s="399">
        <f t="shared" si="34"/>
        <v>72</v>
      </c>
      <c r="I82" s="400" t="s">
        <v>2005</v>
      </c>
      <c r="J82" s="401" t="s">
        <v>1054</v>
      </c>
      <c r="K82" s="402" t="s">
        <v>1054</v>
      </c>
      <c r="L82" s="402" t="s">
        <v>1054</v>
      </c>
      <c r="M82" s="403">
        <v>9999</v>
      </c>
      <c r="N82" s="404">
        <v>0</v>
      </c>
      <c r="O82" s="400" t="s">
        <v>2005</v>
      </c>
      <c r="P82" s="401" t="s">
        <v>1054</v>
      </c>
      <c r="Q82" s="402" t="s">
        <v>1054</v>
      </c>
      <c r="R82" s="402" t="s">
        <v>1054</v>
      </c>
      <c r="S82" s="403">
        <v>9999</v>
      </c>
      <c r="T82" s="404">
        <v>0</v>
      </c>
      <c r="U82" s="400" t="s">
        <v>2005</v>
      </c>
      <c r="V82" s="401" t="s">
        <v>1054</v>
      </c>
      <c r="W82" s="402" t="s">
        <v>1054</v>
      </c>
      <c r="X82" s="402" t="s">
        <v>1054</v>
      </c>
      <c r="Y82" s="403">
        <v>9999</v>
      </c>
      <c r="Z82" s="404">
        <v>0</v>
      </c>
      <c r="AA82" s="400" t="s">
        <v>2005</v>
      </c>
      <c r="AB82" s="401" t="s">
        <v>1054</v>
      </c>
      <c r="AC82" s="402" t="s">
        <v>1054</v>
      </c>
      <c r="AD82" s="402" t="s">
        <v>1054</v>
      </c>
      <c r="AE82" s="403">
        <v>9999</v>
      </c>
      <c r="AF82" s="404">
        <v>0</v>
      </c>
      <c r="AG82" s="409"/>
      <c r="AH82" s="445">
        <f>IF(TYPE(VLOOKUP(H82,Centrum!$A$3:$E$130,5,0))&lt;4,VLOOKUP(H82,Centrum!$A$3:$E$130,5,0),0)</f>
        <v>0</v>
      </c>
      <c r="AI82" s="405" t="str">
        <f>IF(N($AH82)&gt;0,VLOOKUP($AH82,Body!$A$4:$F$259,5,0),"")</f>
        <v/>
      </c>
      <c r="AJ82" s="406" t="str">
        <f>IF(N($AH82)&gt;0,VLOOKUP($AH82,Body!$A$4:$F$259,6,0),"")</f>
        <v/>
      </c>
      <c r="AK82" s="405" t="str">
        <f>IF(N($AH82)&gt;0,VLOOKUP($AH82,Body!$A$4:$F$259,2,0),"")</f>
        <v/>
      </c>
      <c r="AL82" s="407" t="str">
        <f t="shared" si="35"/>
        <v/>
      </c>
      <c r="AM82" s="408">
        <f t="shared" si="36"/>
        <v>0</v>
      </c>
      <c r="AN82" s="334">
        <f>IF(OR(TYPE(I82)&gt;1,TYPE(MATCH(I82,I83:I$139,0))&gt;1),0,MATCH(I82,I83:I$139,0))+IF(OR(TYPE(I82)&gt;1,TYPE(MATCH(I82,O$11:O$139,0))&gt;1),0,MATCH(I82,O$11:O$139,0))+IF(OR(TYPE(I82)&gt;1,TYPE(MATCH(I82,U$11:U$139,0))&gt;1),0,MATCH(I82,U$11:U$139,0))+IF(OR(TYPE(I82)&gt;1,TYPE(MATCH(I82,AA$11:AA$139,0))&gt;1),0,MATCH(I82,AA$11:AA$139,0))</f>
        <v>0</v>
      </c>
      <c r="AO82" s="334">
        <f>IF(OR(TYPE(O82)&gt;1,TYPE(MATCH(O82,I$11:I$139,0))&gt;1),0,MATCH(O82,I$11:I$139,0))+IF(OR(TYPE(O82)&gt;1,TYPE(MATCH(O82,O83:O$139,0))&gt;1),0,MATCH(O82,O83:O$139,0))+IF(OR(TYPE(O82)&gt;1,TYPE(MATCH(O82,U$11:U$139,0))&gt;1),0,MATCH(O82,U$11:U$139,0))+IF(OR(TYPE(O82)&gt;1,TYPE(MATCH(O82,AA$11:AA$139,0))&gt;1),0,MATCH(O82,AA$11:AA$139,0))</f>
        <v>0</v>
      </c>
      <c r="AP82" s="334">
        <f>IF(OR(TYPE(U82)&gt;1,TYPE(MATCH(U82,I$11:I$139,0))&gt;1),0,MATCH(U82,I$11:I$139,0))+IF(OR(TYPE(U82)&gt;1,TYPE(MATCH(U82,O$11:O$139,0))&gt;1),0,MATCH(U82,O$11:O$139,0))+IF(OR(TYPE(U82)&gt;1,TYPE(MATCH(U82,U83:U$139,0))&gt;1),0,MATCH(U82,U83:U$139,0))+IF(OR(TYPE(U82)&gt;1,TYPE(MATCH(U82,AA$11:AA$139,0))&gt;1),0,MATCH(U82,AA$11:AA$139,0))</f>
        <v>0</v>
      </c>
      <c r="AQ82" s="334">
        <f>IF(OR(TYPE(AA82)&gt;1,TYPE(MATCH(AA82,I$11:I$139,0))&gt;1),0,MATCH(AA82,I$11:I$139,0))+IF(OR(TYPE(AA82)&gt;1,TYPE(MATCH(AA82,O$11:O$139,0))&gt;1),0,MATCH(AA82,O$11:O$139,0))+IF(OR(TYPE(AA82)&gt;1,TYPE(MATCH(AA82,U$11:U$139,0))&gt;1),0,MATCH(U82,U$11:U$139,0))+IF(OR(TYPE(AA82)&gt;1,TYPE(MATCH(AA82,AA83:AA$139,0))&gt;1),0,MATCH(AA82,AA83:AA$139,0))</f>
        <v>0</v>
      </c>
      <c r="AR82" s="334">
        <f t="shared" si="37"/>
        <v>0</v>
      </c>
      <c r="AT82" s="333">
        <f t="shared" si="38"/>
        <v>0</v>
      </c>
      <c r="AU82" s="333">
        <f>IF(AND(N(I82)&gt;0,TYPE(VLOOKUP(I82,Hraci!$A$5:$A$800,1,0))&gt;3),1,0) + IF(AND(N(O82)&gt;0,TYPE(VLOOKUP(O82,Hraci!$A$5:$A$800,1,0))&gt;3),1,0) + IF(AND(N(U82)&gt;0,TYPE(VLOOKUP(U82,Hraci!$A$5:$A$800,1,0))&gt;3),1,0)</f>
        <v>0</v>
      </c>
      <c r="BF82" s="334">
        <f t="shared" si="39"/>
        <v>72</v>
      </c>
    </row>
    <row r="83" spans="1:58" ht="14.25" x14ac:dyDescent="0.3">
      <c r="A83" s="358">
        <f t="shared" si="27"/>
        <v>0</v>
      </c>
      <c r="B83" s="358">
        <f t="shared" si="28"/>
        <v>0</v>
      </c>
      <c r="C83" s="358">
        <f t="shared" si="29"/>
        <v>0</v>
      </c>
      <c r="D83" s="358">
        <f t="shared" si="30"/>
        <v>99999</v>
      </c>
      <c r="E83" s="358">
        <f t="shared" si="31"/>
        <v>9999</v>
      </c>
      <c r="F83" s="359" t="str">
        <f t="shared" ca="1" si="32"/>
        <v>90000000900000990000080727</v>
      </c>
      <c r="G83" s="398" t="b">
        <f t="shared" si="33"/>
        <v>1</v>
      </c>
      <c r="H83" s="399">
        <f t="shared" si="34"/>
        <v>73</v>
      </c>
      <c r="I83" s="400" t="s">
        <v>2005</v>
      </c>
      <c r="J83" s="401" t="s">
        <v>1054</v>
      </c>
      <c r="K83" s="402" t="s">
        <v>1054</v>
      </c>
      <c r="L83" s="402" t="s">
        <v>1054</v>
      </c>
      <c r="M83" s="403">
        <v>9999</v>
      </c>
      <c r="N83" s="404">
        <v>0</v>
      </c>
      <c r="O83" s="400" t="s">
        <v>2005</v>
      </c>
      <c r="P83" s="401" t="s">
        <v>1054</v>
      </c>
      <c r="Q83" s="402" t="s">
        <v>1054</v>
      </c>
      <c r="R83" s="402" t="s">
        <v>1054</v>
      </c>
      <c r="S83" s="403">
        <v>9999</v>
      </c>
      <c r="T83" s="404">
        <v>0</v>
      </c>
      <c r="U83" s="400" t="s">
        <v>2005</v>
      </c>
      <c r="V83" s="401" t="s">
        <v>1054</v>
      </c>
      <c r="W83" s="402" t="s">
        <v>1054</v>
      </c>
      <c r="X83" s="402" t="s">
        <v>1054</v>
      </c>
      <c r="Y83" s="403">
        <v>9999</v>
      </c>
      <c r="Z83" s="404">
        <v>0</v>
      </c>
      <c r="AA83" s="400" t="s">
        <v>2005</v>
      </c>
      <c r="AB83" s="401" t="s">
        <v>1054</v>
      </c>
      <c r="AC83" s="402" t="s">
        <v>1054</v>
      </c>
      <c r="AD83" s="402" t="s">
        <v>1054</v>
      </c>
      <c r="AE83" s="403">
        <v>9999</v>
      </c>
      <c r="AF83" s="404">
        <v>0</v>
      </c>
      <c r="AG83" s="409"/>
      <c r="AH83" s="445">
        <f>IF(TYPE(VLOOKUP(H83,Centrum!$A$3:$E$130,5,0))&lt;4,VLOOKUP(H83,Centrum!$A$3:$E$130,5,0),0)</f>
        <v>0</v>
      </c>
      <c r="AI83" s="405" t="str">
        <f>IF(N($AH83)&gt;0,VLOOKUP($AH83,Body!$A$4:$F$259,5,0),"")</f>
        <v/>
      </c>
      <c r="AJ83" s="406" t="str">
        <f>IF(N($AH83)&gt;0,VLOOKUP($AH83,Body!$A$4:$F$259,6,0),"")</f>
        <v/>
      </c>
      <c r="AK83" s="405" t="str">
        <f>IF(N($AH83)&gt;0,VLOOKUP($AH83,Body!$A$4:$F$259,2,0),"")</f>
        <v/>
      </c>
      <c r="AL83" s="407" t="str">
        <f t="shared" si="35"/>
        <v/>
      </c>
      <c r="AM83" s="408">
        <f t="shared" si="36"/>
        <v>0</v>
      </c>
      <c r="AN83" s="334">
        <f>IF(OR(TYPE(I83)&gt;1,TYPE(MATCH(I83,I84:I$139,0))&gt;1),0,MATCH(I83,I84:I$139,0))+IF(OR(TYPE(I83)&gt;1,TYPE(MATCH(I83,O$11:O$139,0))&gt;1),0,MATCH(I83,O$11:O$139,0))+IF(OR(TYPE(I83)&gt;1,TYPE(MATCH(I83,U$11:U$139,0))&gt;1),0,MATCH(I83,U$11:U$139,0))+IF(OR(TYPE(I83)&gt;1,TYPE(MATCH(I83,AA$11:AA$139,0))&gt;1),0,MATCH(I83,AA$11:AA$139,0))</f>
        <v>0</v>
      </c>
      <c r="AO83" s="334">
        <f>IF(OR(TYPE(O83)&gt;1,TYPE(MATCH(O83,I$11:I$139,0))&gt;1),0,MATCH(O83,I$11:I$139,0))+IF(OR(TYPE(O83)&gt;1,TYPE(MATCH(O83,O84:O$139,0))&gt;1),0,MATCH(O83,O84:O$139,0))+IF(OR(TYPE(O83)&gt;1,TYPE(MATCH(O83,U$11:U$139,0))&gt;1),0,MATCH(O83,U$11:U$139,0))+IF(OR(TYPE(O83)&gt;1,TYPE(MATCH(O83,AA$11:AA$139,0))&gt;1),0,MATCH(O83,AA$11:AA$139,0))</f>
        <v>0</v>
      </c>
      <c r="AP83" s="334">
        <f>IF(OR(TYPE(U83)&gt;1,TYPE(MATCH(U83,I$11:I$139,0))&gt;1),0,MATCH(U83,I$11:I$139,0))+IF(OR(TYPE(U83)&gt;1,TYPE(MATCH(U83,O$11:O$139,0))&gt;1),0,MATCH(U83,O$11:O$139,0))+IF(OR(TYPE(U83)&gt;1,TYPE(MATCH(U83,U84:U$139,0))&gt;1),0,MATCH(U83,U84:U$139,0))+IF(OR(TYPE(U83)&gt;1,TYPE(MATCH(U83,AA$11:AA$139,0))&gt;1),0,MATCH(U83,AA$11:AA$139,0))</f>
        <v>0</v>
      </c>
      <c r="AQ83" s="334">
        <f>IF(OR(TYPE(AA83)&gt;1,TYPE(MATCH(AA83,I$11:I$139,0))&gt;1),0,MATCH(AA83,I$11:I$139,0))+IF(OR(TYPE(AA83)&gt;1,TYPE(MATCH(AA83,O$11:O$139,0))&gt;1),0,MATCH(AA83,O$11:O$139,0))+IF(OR(TYPE(AA83)&gt;1,TYPE(MATCH(AA83,U$11:U$139,0))&gt;1),0,MATCH(U83,U$11:U$139,0))+IF(OR(TYPE(AA83)&gt;1,TYPE(MATCH(AA83,AA84:AA$139,0))&gt;1),0,MATCH(AA83,AA84:AA$139,0))</f>
        <v>0</v>
      </c>
      <c r="AR83" s="334">
        <f t="shared" si="37"/>
        <v>0</v>
      </c>
      <c r="AT83" s="333">
        <f t="shared" si="38"/>
        <v>0</v>
      </c>
      <c r="AU83" s="333">
        <f>IF(AND(N(I83)&gt;0,TYPE(VLOOKUP(I83,Hraci!$A$5:$A$800,1,0))&gt;3),1,0) + IF(AND(N(O83)&gt;0,TYPE(VLOOKUP(O83,Hraci!$A$5:$A$800,1,0))&gt;3),1,0) + IF(AND(N(U83)&gt;0,TYPE(VLOOKUP(U83,Hraci!$A$5:$A$800,1,0))&gt;3),1,0)</f>
        <v>0</v>
      </c>
      <c r="BF83" s="334">
        <f t="shared" si="39"/>
        <v>73</v>
      </c>
    </row>
    <row r="84" spans="1:58" ht="14.25" x14ac:dyDescent="0.3">
      <c r="A84" s="358">
        <f t="shared" si="27"/>
        <v>0</v>
      </c>
      <c r="B84" s="358">
        <f t="shared" si="28"/>
        <v>0</v>
      </c>
      <c r="C84" s="358">
        <f t="shared" si="29"/>
        <v>0</v>
      </c>
      <c r="D84" s="358">
        <f t="shared" si="30"/>
        <v>99999</v>
      </c>
      <c r="E84" s="358">
        <f t="shared" si="31"/>
        <v>9999</v>
      </c>
      <c r="F84" s="359" t="str">
        <f t="shared" ca="1" si="32"/>
        <v>90000000900000990000028919</v>
      </c>
      <c r="G84" s="398" t="b">
        <f t="shared" si="33"/>
        <v>1</v>
      </c>
      <c r="H84" s="399">
        <f t="shared" si="34"/>
        <v>74</v>
      </c>
      <c r="I84" s="400" t="s">
        <v>2005</v>
      </c>
      <c r="J84" s="401" t="s">
        <v>1054</v>
      </c>
      <c r="K84" s="402" t="s">
        <v>1054</v>
      </c>
      <c r="L84" s="402" t="s">
        <v>1054</v>
      </c>
      <c r="M84" s="403">
        <v>9999</v>
      </c>
      <c r="N84" s="404">
        <v>0</v>
      </c>
      <c r="O84" s="400" t="s">
        <v>2005</v>
      </c>
      <c r="P84" s="401" t="s">
        <v>1054</v>
      </c>
      <c r="Q84" s="402" t="s">
        <v>1054</v>
      </c>
      <c r="R84" s="402" t="s">
        <v>1054</v>
      </c>
      <c r="S84" s="403">
        <v>9999</v>
      </c>
      <c r="T84" s="404">
        <v>0</v>
      </c>
      <c r="U84" s="400" t="s">
        <v>2005</v>
      </c>
      <c r="V84" s="401" t="s">
        <v>1054</v>
      </c>
      <c r="W84" s="402" t="s">
        <v>1054</v>
      </c>
      <c r="X84" s="402" t="s">
        <v>1054</v>
      </c>
      <c r="Y84" s="403">
        <v>9999</v>
      </c>
      <c r="Z84" s="404">
        <v>0</v>
      </c>
      <c r="AA84" s="400" t="s">
        <v>2005</v>
      </c>
      <c r="AB84" s="401" t="s">
        <v>1054</v>
      </c>
      <c r="AC84" s="402" t="s">
        <v>1054</v>
      </c>
      <c r="AD84" s="402" t="s">
        <v>1054</v>
      </c>
      <c r="AE84" s="403">
        <v>9999</v>
      </c>
      <c r="AF84" s="404">
        <v>0</v>
      </c>
      <c r="AG84" s="409"/>
      <c r="AH84" s="445">
        <f>IF(TYPE(VLOOKUP(H84,Centrum!$A$3:$E$130,5,0))&lt;4,VLOOKUP(H84,Centrum!$A$3:$E$130,5,0),0)</f>
        <v>0</v>
      </c>
      <c r="AI84" s="405" t="str">
        <f>IF(N($AH84)&gt;0,VLOOKUP($AH84,Body!$A$4:$F$259,5,0),"")</f>
        <v/>
      </c>
      <c r="AJ84" s="406" t="str">
        <f>IF(N($AH84)&gt;0,VLOOKUP($AH84,Body!$A$4:$F$259,6,0),"")</f>
        <v/>
      </c>
      <c r="AK84" s="405" t="str">
        <f>IF(N($AH84)&gt;0,VLOOKUP($AH84,Body!$A$4:$F$259,2,0),"")</f>
        <v/>
      </c>
      <c r="AL84" s="407" t="str">
        <f t="shared" si="35"/>
        <v/>
      </c>
      <c r="AM84" s="408">
        <f t="shared" si="36"/>
        <v>0</v>
      </c>
      <c r="AN84" s="334">
        <f>IF(OR(TYPE(I84)&gt;1,TYPE(MATCH(I84,I85:I$139,0))&gt;1),0,MATCH(I84,I85:I$139,0))+IF(OR(TYPE(I84)&gt;1,TYPE(MATCH(I84,O$11:O$139,0))&gt;1),0,MATCH(I84,O$11:O$139,0))+IF(OR(TYPE(I84)&gt;1,TYPE(MATCH(I84,U$11:U$139,0))&gt;1),0,MATCH(I84,U$11:U$139,0))+IF(OR(TYPE(I84)&gt;1,TYPE(MATCH(I84,AA$11:AA$139,0))&gt;1),0,MATCH(I84,AA$11:AA$139,0))</f>
        <v>0</v>
      </c>
      <c r="AO84" s="334">
        <f>IF(OR(TYPE(O84)&gt;1,TYPE(MATCH(O84,I$11:I$139,0))&gt;1),0,MATCH(O84,I$11:I$139,0))+IF(OR(TYPE(O84)&gt;1,TYPE(MATCH(O84,O85:O$139,0))&gt;1),0,MATCH(O84,O85:O$139,0))+IF(OR(TYPE(O84)&gt;1,TYPE(MATCH(O84,U$11:U$139,0))&gt;1),0,MATCH(O84,U$11:U$139,0))+IF(OR(TYPE(O84)&gt;1,TYPE(MATCH(O84,AA$11:AA$139,0))&gt;1),0,MATCH(O84,AA$11:AA$139,0))</f>
        <v>0</v>
      </c>
      <c r="AP84" s="334">
        <f>IF(OR(TYPE(U84)&gt;1,TYPE(MATCH(U84,I$11:I$139,0))&gt;1),0,MATCH(U84,I$11:I$139,0))+IF(OR(TYPE(U84)&gt;1,TYPE(MATCH(U84,O$11:O$139,0))&gt;1),0,MATCH(U84,O$11:O$139,0))+IF(OR(TYPE(U84)&gt;1,TYPE(MATCH(U84,U85:U$139,0))&gt;1),0,MATCH(U84,U85:U$139,0))+IF(OR(TYPE(U84)&gt;1,TYPE(MATCH(U84,AA$11:AA$139,0))&gt;1),0,MATCH(U84,AA$11:AA$139,0))</f>
        <v>0</v>
      </c>
      <c r="AQ84" s="334">
        <f>IF(OR(TYPE(AA84)&gt;1,TYPE(MATCH(AA84,I$11:I$139,0))&gt;1),0,MATCH(AA84,I$11:I$139,0))+IF(OR(TYPE(AA84)&gt;1,TYPE(MATCH(AA84,O$11:O$139,0))&gt;1),0,MATCH(AA84,O$11:O$139,0))+IF(OR(TYPE(AA84)&gt;1,TYPE(MATCH(AA84,U$11:U$139,0))&gt;1),0,MATCH(U84,U$11:U$139,0))+IF(OR(TYPE(AA84)&gt;1,TYPE(MATCH(AA84,AA85:AA$139,0))&gt;1),0,MATCH(AA84,AA85:AA$139,0))</f>
        <v>0</v>
      </c>
      <c r="AR84" s="334">
        <f t="shared" si="37"/>
        <v>0</v>
      </c>
      <c r="AT84" s="333">
        <f t="shared" si="38"/>
        <v>0</v>
      </c>
      <c r="AU84" s="333">
        <f>IF(AND(N(I84)&gt;0,TYPE(VLOOKUP(I84,Hraci!$A$5:$A$800,1,0))&gt;3),1,0) + IF(AND(N(O84)&gt;0,TYPE(VLOOKUP(O84,Hraci!$A$5:$A$800,1,0))&gt;3),1,0) + IF(AND(N(U84)&gt;0,TYPE(VLOOKUP(U84,Hraci!$A$5:$A$800,1,0))&gt;3),1,0)</f>
        <v>0</v>
      </c>
      <c r="BF84" s="334">
        <f t="shared" si="39"/>
        <v>74</v>
      </c>
    </row>
    <row r="85" spans="1:58" ht="14.25" x14ac:dyDescent="0.3">
      <c r="A85" s="358">
        <f t="shared" si="27"/>
        <v>0</v>
      </c>
      <c r="B85" s="358">
        <f t="shared" si="28"/>
        <v>0</v>
      </c>
      <c r="C85" s="358">
        <f t="shared" si="29"/>
        <v>0</v>
      </c>
      <c r="D85" s="358">
        <f t="shared" si="30"/>
        <v>99999</v>
      </c>
      <c r="E85" s="358">
        <f t="shared" si="31"/>
        <v>9999</v>
      </c>
      <c r="F85" s="359" t="str">
        <f t="shared" ca="1" si="32"/>
        <v>90000000900000990000924139</v>
      </c>
      <c r="G85" s="398" t="b">
        <f t="shared" si="33"/>
        <v>1</v>
      </c>
      <c r="H85" s="399">
        <f t="shared" si="34"/>
        <v>75</v>
      </c>
      <c r="I85" s="400" t="s">
        <v>2005</v>
      </c>
      <c r="J85" s="401" t="s">
        <v>1054</v>
      </c>
      <c r="K85" s="402" t="s">
        <v>1054</v>
      </c>
      <c r="L85" s="402" t="s">
        <v>1054</v>
      </c>
      <c r="M85" s="403">
        <v>9999</v>
      </c>
      <c r="N85" s="404">
        <v>0</v>
      </c>
      <c r="O85" s="400" t="s">
        <v>2005</v>
      </c>
      <c r="P85" s="401" t="s">
        <v>1054</v>
      </c>
      <c r="Q85" s="402" t="s">
        <v>1054</v>
      </c>
      <c r="R85" s="402" t="s">
        <v>1054</v>
      </c>
      <c r="S85" s="403">
        <v>9999</v>
      </c>
      <c r="T85" s="404">
        <v>0</v>
      </c>
      <c r="U85" s="400" t="s">
        <v>2005</v>
      </c>
      <c r="V85" s="401" t="s">
        <v>1054</v>
      </c>
      <c r="W85" s="402" t="s">
        <v>1054</v>
      </c>
      <c r="X85" s="402" t="s">
        <v>1054</v>
      </c>
      <c r="Y85" s="403">
        <v>9999</v>
      </c>
      <c r="Z85" s="404">
        <v>0</v>
      </c>
      <c r="AA85" s="400" t="s">
        <v>2005</v>
      </c>
      <c r="AB85" s="401" t="s">
        <v>1054</v>
      </c>
      <c r="AC85" s="402" t="s">
        <v>1054</v>
      </c>
      <c r="AD85" s="402" t="s">
        <v>1054</v>
      </c>
      <c r="AE85" s="403">
        <v>9999</v>
      </c>
      <c r="AF85" s="404">
        <v>0</v>
      </c>
      <c r="AG85" s="409"/>
      <c r="AH85" s="445">
        <f>IF(TYPE(VLOOKUP(H85,Centrum!$A$3:$E$130,5,0))&lt;4,VLOOKUP(H85,Centrum!$A$3:$E$130,5,0),0)</f>
        <v>0</v>
      </c>
      <c r="AI85" s="405" t="str">
        <f>IF(N($AH85)&gt;0,VLOOKUP($AH85,Body!$A$4:$F$259,5,0),"")</f>
        <v/>
      </c>
      <c r="AJ85" s="406" t="str">
        <f>IF(N($AH85)&gt;0,VLOOKUP($AH85,Body!$A$4:$F$259,6,0),"")</f>
        <v/>
      </c>
      <c r="AK85" s="405" t="str">
        <f>IF(N($AH85)&gt;0,VLOOKUP($AH85,Body!$A$4:$F$259,2,0),"")</f>
        <v/>
      </c>
      <c r="AL85" s="407" t="str">
        <f t="shared" si="35"/>
        <v/>
      </c>
      <c r="AM85" s="408">
        <f t="shared" si="36"/>
        <v>0</v>
      </c>
      <c r="AN85" s="334">
        <f>IF(OR(TYPE(I85)&gt;1,TYPE(MATCH(I85,I86:I$139,0))&gt;1),0,MATCH(I85,I86:I$139,0))+IF(OR(TYPE(I85)&gt;1,TYPE(MATCH(I85,O$11:O$139,0))&gt;1),0,MATCH(I85,O$11:O$139,0))+IF(OR(TYPE(I85)&gt;1,TYPE(MATCH(I85,U$11:U$139,0))&gt;1),0,MATCH(I85,U$11:U$139,0))+IF(OR(TYPE(I85)&gt;1,TYPE(MATCH(I85,AA$11:AA$139,0))&gt;1),0,MATCH(I85,AA$11:AA$139,0))</f>
        <v>0</v>
      </c>
      <c r="AO85" s="334">
        <f>IF(OR(TYPE(O85)&gt;1,TYPE(MATCH(O85,I$11:I$139,0))&gt;1),0,MATCH(O85,I$11:I$139,0))+IF(OR(TYPE(O85)&gt;1,TYPE(MATCH(O85,O86:O$139,0))&gt;1),0,MATCH(O85,O86:O$139,0))+IF(OR(TYPE(O85)&gt;1,TYPE(MATCH(O85,U$11:U$139,0))&gt;1),0,MATCH(O85,U$11:U$139,0))+IF(OR(TYPE(O85)&gt;1,TYPE(MATCH(O85,AA$11:AA$139,0))&gt;1),0,MATCH(O85,AA$11:AA$139,0))</f>
        <v>0</v>
      </c>
      <c r="AP85" s="334">
        <f>IF(OR(TYPE(U85)&gt;1,TYPE(MATCH(U85,I$11:I$139,0))&gt;1),0,MATCH(U85,I$11:I$139,0))+IF(OR(TYPE(U85)&gt;1,TYPE(MATCH(U85,O$11:O$139,0))&gt;1),0,MATCH(U85,O$11:O$139,0))+IF(OR(TYPE(U85)&gt;1,TYPE(MATCH(U85,U86:U$139,0))&gt;1),0,MATCH(U85,U86:U$139,0))+IF(OR(TYPE(U85)&gt;1,TYPE(MATCH(U85,AA$11:AA$139,0))&gt;1),0,MATCH(U85,AA$11:AA$139,0))</f>
        <v>0</v>
      </c>
      <c r="AQ85" s="334">
        <f>IF(OR(TYPE(AA85)&gt;1,TYPE(MATCH(AA85,I$11:I$139,0))&gt;1),0,MATCH(AA85,I$11:I$139,0))+IF(OR(TYPE(AA85)&gt;1,TYPE(MATCH(AA85,O$11:O$139,0))&gt;1),0,MATCH(AA85,O$11:O$139,0))+IF(OR(TYPE(AA85)&gt;1,TYPE(MATCH(AA85,U$11:U$139,0))&gt;1),0,MATCH(U85,U$11:U$139,0))+IF(OR(TYPE(AA85)&gt;1,TYPE(MATCH(AA85,AA86:AA$139,0))&gt;1),0,MATCH(AA85,AA86:AA$139,0))</f>
        <v>0</v>
      </c>
      <c r="AR85" s="334">
        <f t="shared" si="37"/>
        <v>0</v>
      </c>
      <c r="AT85" s="333">
        <f t="shared" si="38"/>
        <v>0</v>
      </c>
      <c r="AU85" s="333">
        <f>IF(AND(N(I85)&gt;0,TYPE(VLOOKUP(I85,Hraci!$A$5:$A$800,1,0))&gt;3),1,0) + IF(AND(N(O85)&gt;0,TYPE(VLOOKUP(O85,Hraci!$A$5:$A$800,1,0))&gt;3),1,0) + IF(AND(N(U85)&gt;0,TYPE(VLOOKUP(U85,Hraci!$A$5:$A$800,1,0))&gt;3),1,0)</f>
        <v>0</v>
      </c>
      <c r="BF85" s="334">
        <f t="shared" si="39"/>
        <v>75</v>
      </c>
    </row>
    <row r="86" spans="1:58" ht="14.25" x14ac:dyDescent="0.3">
      <c r="A86" s="358">
        <f t="shared" si="27"/>
        <v>0</v>
      </c>
      <c r="B86" s="358">
        <f t="shared" si="28"/>
        <v>0</v>
      </c>
      <c r="C86" s="358">
        <f t="shared" si="29"/>
        <v>0</v>
      </c>
      <c r="D86" s="358">
        <f t="shared" si="30"/>
        <v>99999</v>
      </c>
      <c r="E86" s="358">
        <f t="shared" si="31"/>
        <v>9999</v>
      </c>
      <c r="F86" s="359" t="str">
        <f t="shared" ca="1" si="32"/>
        <v>90000000900000990000572475</v>
      </c>
      <c r="G86" s="398" t="b">
        <f t="shared" si="33"/>
        <v>1</v>
      </c>
      <c r="H86" s="399">
        <f t="shared" si="34"/>
        <v>76</v>
      </c>
      <c r="I86" s="400" t="s">
        <v>2005</v>
      </c>
      <c r="J86" s="401" t="s">
        <v>1054</v>
      </c>
      <c r="K86" s="402" t="s">
        <v>1054</v>
      </c>
      <c r="L86" s="402" t="s">
        <v>1054</v>
      </c>
      <c r="M86" s="403">
        <v>9999</v>
      </c>
      <c r="N86" s="404">
        <v>0</v>
      </c>
      <c r="O86" s="400" t="s">
        <v>2005</v>
      </c>
      <c r="P86" s="401" t="s">
        <v>1054</v>
      </c>
      <c r="Q86" s="402" t="s">
        <v>1054</v>
      </c>
      <c r="R86" s="402" t="s">
        <v>1054</v>
      </c>
      <c r="S86" s="403">
        <v>9999</v>
      </c>
      <c r="T86" s="404">
        <v>0</v>
      </c>
      <c r="U86" s="400" t="s">
        <v>2005</v>
      </c>
      <c r="V86" s="401" t="s">
        <v>1054</v>
      </c>
      <c r="W86" s="402" t="s">
        <v>1054</v>
      </c>
      <c r="X86" s="402" t="s">
        <v>1054</v>
      </c>
      <c r="Y86" s="403">
        <v>9999</v>
      </c>
      <c r="Z86" s="404">
        <v>0</v>
      </c>
      <c r="AA86" s="400" t="s">
        <v>2005</v>
      </c>
      <c r="AB86" s="401" t="s">
        <v>1054</v>
      </c>
      <c r="AC86" s="402" t="s">
        <v>1054</v>
      </c>
      <c r="AD86" s="402" t="s">
        <v>1054</v>
      </c>
      <c r="AE86" s="403">
        <v>9999</v>
      </c>
      <c r="AF86" s="404">
        <v>0</v>
      </c>
      <c r="AG86" s="409"/>
      <c r="AH86" s="445">
        <f>IF(TYPE(VLOOKUP(H86,Centrum!$A$3:$E$130,5,0))&lt;4,VLOOKUP(H86,Centrum!$A$3:$E$130,5,0),0)</f>
        <v>0</v>
      </c>
      <c r="AI86" s="405" t="str">
        <f>IF(N($AH86)&gt;0,VLOOKUP($AH86,Body!$A$4:$F$259,5,0),"")</f>
        <v/>
      </c>
      <c r="AJ86" s="406" t="str">
        <f>IF(N($AH86)&gt;0,VLOOKUP($AH86,Body!$A$4:$F$259,6,0),"")</f>
        <v/>
      </c>
      <c r="AK86" s="405" t="str">
        <f>IF(N($AH86)&gt;0,VLOOKUP($AH86,Body!$A$4:$F$259,2,0),"")</f>
        <v/>
      </c>
      <c r="AL86" s="407" t="str">
        <f t="shared" si="35"/>
        <v/>
      </c>
      <c r="AM86" s="408">
        <f t="shared" si="36"/>
        <v>0</v>
      </c>
      <c r="AN86" s="334">
        <f>IF(OR(TYPE(I86)&gt;1,TYPE(MATCH(I86,I87:I$139,0))&gt;1),0,MATCH(I86,I87:I$139,0))+IF(OR(TYPE(I86)&gt;1,TYPE(MATCH(I86,O$11:O$139,0))&gt;1),0,MATCH(I86,O$11:O$139,0))+IF(OR(TYPE(I86)&gt;1,TYPE(MATCH(I86,U$11:U$139,0))&gt;1),0,MATCH(I86,U$11:U$139,0))+IF(OR(TYPE(I86)&gt;1,TYPE(MATCH(I86,AA$11:AA$139,0))&gt;1),0,MATCH(I86,AA$11:AA$139,0))</f>
        <v>0</v>
      </c>
      <c r="AO86" s="334">
        <f>IF(OR(TYPE(O86)&gt;1,TYPE(MATCH(O86,I$11:I$139,0))&gt;1),0,MATCH(O86,I$11:I$139,0))+IF(OR(TYPE(O86)&gt;1,TYPE(MATCH(O86,O87:O$139,0))&gt;1),0,MATCH(O86,O87:O$139,0))+IF(OR(TYPE(O86)&gt;1,TYPE(MATCH(O86,U$11:U$139,0))&gt;1),0,MATCH(O86,U$11:U$139,0))+IF(OR(TYPE(O86)&gt;1,TYPE(MATCH(O86,AA$11:AA$139,0))&gt;1),0,MATCH(O86,AA$11:AA$139,0))</f>
        <v>0</v>
      </c>
      <c r="AP86" s="334">
        <f>IF(OR(TYPE(U86)&gt;1,TYPE(MATCH(U86,I$11:I$139,0))&gt;1),0,MATCH(U86,I$11:I$139,0))+IF(OR(TYPE(U86)&gt;1,TYPE(MATCH(U86,O$11:O$139,0))&gt;1),0,MATCH(U86,O$11:O$139,0))+IF(OR(TYPE(U86)&gt;1,TYPE(MATCH(U86,U87:U$139,0))&gt;1),0,MATCH(U86,U87:U$139,0))+IF(OR(TYPE(U86)&gt;1,TYPE(MATCH(U86,AA$11:AA$139,0))&gt;1),0,MATCH(U86,AA$11:AA$139,0))</f>
        <v>0</v>
      </c>
      <c r="AQ86" s="334">
        <f>IF(OR(TYPE(AA86)&gt;1,TYPE(MATCH(AA86,I$11:I$139,0))&gt;1),0,MATCH(AA86,I$11:I$139,0))+IF(OR(TYPE(AA86)&gt;1,TYPE(MATCH(AA86,O$11:O$139,0))&gt;1),0,MATCH(AA86,O$11:O$139,0))+IF(OR(TYPE(AA86)&gt;1,TYPE(MATCH(AA86,U$11:U$139,0))&gt;1),0,MATCH(U86,U$11:U$139,0))+IF(OR(TYPE(AA86)&gt;1,TYPE(MATCH(AA86,AA87:AA$139,0))&gt;1),0,MATCH(AA86,AA87:AA$139,0))</f>
        <v>0</v>
      </c>
      <c r="AR86" s="334">
        <f t="shared" si="37"/>
        <v>0</v>
      </c>
      <c r="AT86" s="333">
        <f t="shared" si="38"/>
        <v>0</v>
      </c>
      <c r="AU86" s="333">
        <f>IF(AND(N(I86)&gt;0,TYPE(VLOOKUP(I86,Hraci!$A$5:$A$800,1,0))&gt;3),1,0) + IF(AND(N(O86)&gt;0,TYPE(VLOOKUP(O86,Hraci!$A$5:$A$800,1,0))&gt;3),1,0) + IF(AND(N(U86)&gt;0,TYPE(VLOOKUP(U86,Hraci!$A$5:$A$800,1,0))&gt;3),1,0)</f>
        <v>0</v>
      </c>
      <c r="BF86" s="334">
        <f t="shared" si="39"/>
        <v>76</v>
      </c>
    </row>
    <row r="87" spans="1:58" ht="14.25" x14ac:dyDescent="0.3">
      <c r="A87" s="358">
        <f t="shared" si="27"/>
        <v>0</v>
      </c>
      <c r="B87" s="358">
        <f t="shared" si="28"/>
        <v>0</v>
      </c>
      <c r="C87" s="358">
        <f t="shared" si="29"/>
        <v>0</v>
      </c>
      <c r="D87" s="358">
        <f t="shared" si="30"/>
        <v>99999</v>
      </c>
      <c r="E87" s="358">
        <f t="shared" si="31"/>
        <v>9999</v>
      </c>
      <c r="F87" s="359" t="str">
        <f t="shared" ca="1" si="32"/>
        <v>90000000900000990000868423</v>
      </c>
      <c r="G87" s="398" t="b">
        <f t="shared" si="33"/>
        <v>1</v>
      </c>
      <c r="H87" s="399">
        <f t="shared" si="34"/>
        <v>77</v>
      </c>
      <c r="I87" s="400" t="s">
        <v>2005</v>
      </c>
      <c r="J87" s="401" t="s">
        <v>1054</v>
      </c>
      <c r="K87" s="402" t="s">
        <v>1054</v>
      </c>
      <c r="L87" s="402" t="s">
        <v>1054</v>
      </c>
      <c r="M87" s="403">
        <v>9999</v>
      </c>
      <c r="N87" s="404">
        <v>0</v>
      </c>
      <c r="O87" s="400" t="s">
        <v>2005</v>
      </c>
      <c r="P87" s="401" t="s">
        <v>1054</v>
      </c>
      <c r="Q87" s="402" t="s">
        <v>1054</v>
      </c>
      <c r="R87" s="402" t="s">
        <v>1054</v>
      </c>
      <c r="S87" s="403">
        <v>9999</v>
      </c>
      <c r="T87" s="404">
        <v>0</v>
      </c>
      <c r="U87" s="400" t="s">
        <v>2005</v>
      </c>
      <c r="V87" s="401" t="s">
        <v>1054</v>
      </c>
      <c r="W87" s="402" t="s">
        <v>1054</v>
      </c>
      <c r="X87" s="402" t="s">
        <v>1054</v>
      </c>
      <c r="Y87" s="403">
        <v>9999</v>
      </c>
      <c r="Z87" s="404">
        <v>0</v>
      </c>
      <c r="AA87" s="400" t="s">
        <v>2005</v>
      </c>
      <c r="AB87" s="401" t="s">
        <v>1054</v>
      </c>
      <c r="AC87" s="402" t="s">
        <v>1054</v>
      </c>
      <c r="AD87" s="402" t="s">
        <v>1054</v>
      </c>
      <c r="AE87" s="403">
        <v>9999</v>
      </c>
      <c r="AF87" s="404">
        <v>0</v>
      </c>
      <c r="AG87" s="409"/>
      <c r="AH87" s="445">
        <f>IF(TYPE(VLOOKUP(H87,Centrum!$A$3:$E$130,5,0))&lt;4,VLOOKUP(H87,Centrum!$A$3:$E$130,5,0),0)</f>
        <v>0</v>
      </c>
      <c r="AI87" s="405" t="str">
        <f>IF(N($AH87)&gt;0,VLOOKUP($AH87,Body!$A$4:$F$259,5,0),"")</f>
        <v/>
      </c>
      <c r="AJ87" s="406" t="str">
        <f>IF(N($AH87)&gt;0,VLOOKUP($AH87,Body!$A$4:$F$259,6,0),"")</f>
        <v/>
      </c>
      <c r="AK87" s="405" t="str">
        <f>IF(N($AH87)&gt;0,VLOOKUP($AH87,Body!$A$4:$F$259,2,0),"")</f>
        <v/>
      </c>
      <c r="AL87" s="407" t="str">
        <f t="shared" si="35"/>
        <v/>
      </c>
      <c r="AM87" s="408">
        <f t="shared" si="36"/>
        <v>0</v>
      </c>
      <c r="AN87" s="334">
        <f>IF(OR(TYPE(I87)&gt;1,TYPE(MATCH(I87,I88:I$139,0))&gt;1),0,MATCH(I87,I88:I$139,0))+IF(OR(TYPE(I87)&gt;1,TYPE(MATCH(I87,O$11:O$139,0))&gt;1),0,MATCH(I87,O$11:O$139,0))+IF(OR(TYPE(I87)&gt;1,TYPE(MATCH(I87,U$11:U$139,0))&gt;1),0,MATCH(I87,U$11:U$139,0))+IF(OR(TYPE(I87)&gt;1,TYPE(MATCH(I87,AA$11:AA$139,0))&gt;1),0,MATCH(I87,AA$11:AA$139,0))</f>
        <v>0</v>
      </c>
      <c r="AO87" s="334">
        <f>IF(OR(TYPE(O87)&gt;1,TYPE(MATCH(O87,I$11:I$139,0))&gt;1),0,MATCH(O87,I$11:I$139,0))+IF(OR(TYPE(O87)&gt;1,TYPE(MATCH(O87,O88:O$139,0))&gt;1),0,MATCH(O87,O88:O$139,0))+IF(OR(TYPE(O87)&gt;1,TYPE(MATCH(O87,U$11:U$139,0))&gt;1),0,MATCH(O87,U$11:U$139,0))+IF(OR(TYPE(O87)&gt;1,TYPE(MATCH(O87,AA$11:AA$139,0))&gt;1),0,MATCH(O87,AA$11:AA$139,0))</f>
        <v>0</v>
      </c>
      <c r="AP87" s="334">
        <f>IF(OR(TYPE(U87)&gt;1,TYPE(MATCH(U87,I$11:I$139,0))&gt;1),0,MATCH(U87,I$11:I$139,0))+IF(OR(TYPE(U87)&gt;1,TYPE(MATCH(U87,O$11:O$139,0))&gt;1),0,MATCH(U87,O$11:O$139,0))+IF(OR(TYPE(U87)&gt;1,TYPE(MATCH(U87,U88:U$139,0))&gt;1),0,MATCH(U87,U88:U$139,0))+IF(OR(TYPE(U87)&gt;1,TYPE(MATCH(U87,AA$11:AA$139,0))&gt;1),0,MATCH(U87,AA$11:AA$139,0))</f>
        <v>0</v>
      </c>
      <c r="AQ87" s="334">
        <f>IF(OR(TYPE(AA87)&gt;1,TYPE(MATCH(AA87,I$11:I$139,0))&gt;1),0,MATCH(AA87,I$11:I$139,0))+IF(OR(TYPE(AA87)&gt;1,TYPE(MATCH(AA87,O$11:O$139,0))&gt;1),0,MATCH(AA87,O$11:O$139,0))+IF(OR(TYPE(AA87)&gt;1,TYPE(MATCH(AA87,U$11:U$139,0))&gt;1),0,MATCH(U87,U$11:U$139,0))+IF(OR(TYPE(AA87)&gt;1,TYPE(MATCH(AA87,AA88:AA$139,0))&gt;1),0,MATCH(AA87,AA88:AA$139,0))</f>
        <v>0</v>
      </c>
      <c r="AR87" s="334">
        <f t="shared" si="37"/>
        <v>0</v>
      </c>
      <c r="AT87" s="333">
        <f t="shared" si="38"/>
        <v>0</v>
      </c>
      <c r="AU87" s="333">
        <f>IF(AND(N(I87)&gt;0,TYPE(VLOOKUP(I87,Hraci!$A$5:$A$800,1,0))&gt;3),1,0) + IF(AND(N(O87)&gt;0,TYPE(VLOOKUP(O87,Hraci!$A$5:$A$800,1,0))&gt;3),1,0) + IF(AND(N(U87)&gt;0,TYPE(VLOOKUP(U87,Hraci!$A$5:$A$800,1,0))&gt;3),1,0)</f>
        <v>0</v>
      </c>
      <c r="BF87" s="334">
        <f t="shared" si="39"/>
        <v>77</v>
      </c>
    </row>
    <row r="88" spans="1:58" ht="14.25" x14ac:dyDescent="0.3">
      <c r="A88" s="358">
        <f t="shared" si="27"/>
        <v>0</v>
      </c>
      <c r="B88" s="358">
        <f t="shared" si="28"/>
        <v>0</v>
      </c>
      <c r="C88" s="358">
        <f t="shared" si="29"/>
        <v>0</v>
      </c>
      <c r="D88" s="358">
        <f t="shared" si="30"/>
        <v>99999</v>
      </c>
      <c r="E88" s="358">
        <f t="shared" si="31"/>
        <v>9999</v>
      </c>
      <c r="F88" s="359" t="str">
        <f t="shared" ca="1" si="32"/>
        <v>90000000900000990000388668</v>
      </c>
      <c r="G88" s="398" t="b">
        <f t="shared" si="33"/>
        <v>1</v>
      </c>
      <c r="H88" s="399">
        <f t="shared" si="34"/>
        <v>78</v>
      </c>
      <c r="I88" s="400" t="s">
        <v>2005</v>
      </c>
      <c r="J88" s="401" t="s">
        <v>1054</v>
      </c>
      <c r="K88" s="402" t="s">
        <v>1054</v>
      </c>
      <c r="L88" s="402" t="s">
        <v>1054</v>
      </c>
      <c r="M88" s="403">
        <v>9999</v>
      </c>
      <c r="N88" s="404">
        <v>0</v>
      </c>
      <c r="O88" s="400" t="s">
        <v>2005</v>
      </c>
      <c r="P88" s="401" t="s">
        <v>1054</v>
      </c>
      <c r="Q88" s="402" t="s">
        <v>1054</v>
      </c>
      <c r="R88" s="402" t="s">
        <v>1054</v>
      </c>
      <c r="S88" s="403">
        <v>9999</v>
      </c>
      <c r="T88" s="404">
        <v>0</v>
      </c>
      <c r="U88" s="400" t="s">
        <v>2005</v>
      </c>
      <c r="V88" s="401" t="s">
        <v>1054</v>
      </c>
      <c r="W88" s="402" t="s">
        <v>1054</v>
      </c>
      <c r="X88" s="402" t="s">
        <v>1054</v>
      </c>
      <c r="Y88" s="403">
        <v>9999</v>
      </c>
      <c r="Z88" s="404">
        <v>0</v>
      </c>
      <c r="AA88" s="400" t="s">
        <v>2005</v>
      </c>
      <c r="AB88" s="401" t="s">
        <v>1054</v>
      </c>
      <c r="AC88" s="402" t="s">
        <v>1054</v>
      </c>
      <c r="AD88" s="402" t="s">
        <v>1054</v>
      </c>
      <c r="AE88" s="403">
        <v>9999</v>
      </c>
      <c r="AF88" s="404">
        <v>0</v>
      </c>
      <c r="AG88" s="409"/>
      <c r="AH88" s="445">
        <f>IF(TYPE(VLOOKUP(H88,Centrum!$A$3:$E$130,5,0))&lt;4,VLOOKUP(H88,Centrum!$A$3:$E$130,5,0),0)</f>
        <v>0</v>
      </c>
      <c r="AI88" s="405" t="str">
        <f>IF(N($AH88)&gt;0,VLOOKUP($AH88,Body!$A$4:$F$259,5,0),"")</f>
        <v/>
      </c>
      <c r="AJ88" s="406" t="str">
        <f>IF(N($AH88)&gt;0,VLOOKUP($AH88,Body!$A$4:$F$259,6,0),"")</f>
        <v/>
      </c>
      <c r="AK88" s="405" t="str">
        <f>IF(N($AH88)&gt;0,VLOOKUP($AH88,Body!$A$4:$F$259,2,0),"")</f>
        <v/>
      </c>
      <c r="AL88" s="407" t="str">
        <f t="shared" si="35"/>
        <v/>
      </c>
      <c r="AM88" s="408">
        <f t="shared" si="36"/>
        <v>0</v>
      </c>
      <c r="AN88" s="334">
        <f>IF(OR(TYPE(I88)&gt;1,TYPE(MATCH(I88,I89:I$139,0))&gt;1),0,MATCH(I88,I89:I$139,0))+IF(OR(TYPE(I88)&gt;1,TYPE(MATCH(I88,O$11:O$139,0))&gt;1),0,MATCH(I88,O$11:O$139,0))+IF(OR(TYPE(I88)&gt;1,TYPE(MATCH(I88,U$11:U$139,0))&gt;1),0,MATCH(I88,U$11:U$139,0))+IF(OR(TYPE(I88)&gt;1,TYPE(MATCH(I88,AA$11:AA$139,0))&gt;1),0,MATCH(I88,AA$11:AA$139,0))</f>
        <v>0</v>
      </c>
      <c r="AO88" s="334">
        <f>IF(OR(TYPE(O88)&gt;1,TYPE(MATCH(O88,I$11:I$139,0))&gt;1),0,MATCH(O88,I$11:I$139,0))+IF(OR(TYPE(O88)&gt;1,TYPE(MATCH(O88,O89:O$139,0))&gt;1),0,MATCH(O88,O89:O$139,0))+IF(OR(TYPE(O88)&gt;1,TYPE(MATCH(O88,U$11:U$139,0))&gt;1),0,MATCH(O88,U$11:U$139,0))+IF(OR(TYPE(O88)&gt;1,TYPE(MATCH(O88,AA$11:AA$139,0))&gt;1),0,MATCH(O88,AA$11:AA$139,0))</f>
        <v>0</v>
      </c>
      <c r="AP88" s="334">
        <f>IF(OR(TYPE(U88)&gt;1,TYPE(MATCH(U88,I$11:I$139,0))&gt;1),0,MATCH(U88,I$11:I$139,0))+IF(OR(TYPE(U88)&gt;1,TYPE(MATCH(U88,O$11:O$139,0))&gt;1),0,MATCH(U88,O$11:O$139,0))+IF(OR(TYPE(U88)&gt;1,TYPE(MATCH(U88,U89:U$139,0))&gt;1),0,MATCH(U88,U89:U$139,0))+IF(OR(TYPE(U88)&gt;1,TYPE(MATCH(U88,AA$11:AA$139,0))&gt;1),0,MATCH(U88,AA$11:AA$139,0))</f>
        <v>0</v>
      </c>
      <c r="AQ88" s="334">
        <f>IF(OR(TYPE(AA88)&gt;1,TYPE(MATCH(AA88,I$11:I$139,0))&gt;1),0,MATCH(AA88,I$11:I$139,0))+IF(OR(TYPE(AA88)&gt;1,TYPE(MATCH(AA88,O$11:O$139,0))&gt;1),0,MATCH(AA88,O$11:O$139,0))+IF(OR(TYPE(AA88)&gt;1,TYPE(MATCH(AA88,U$11:U$139,0))&gt;1),0,MATCH(U88,U$11:U$139,0))+IF(OR(TYPE(AA88)&gt;1,TYPE(MATCH(AA88,AA89:AA$139,0))&gt;1),0,MATCH(AA88,AA89:AA$139,0))</f>
        <v>0</v>
      </c>
      <c r="AR88" s="334">
        <f t="shared" si="37"/>
        <v>0</v>
      </c>
      <c r="AT88" s="333">
        <f t="shared" si="38"/>
        <v>0</v>
      </c>
      <c r="AU88" s="333">
        <f>IF(AND(N(I88)&gt;0,TYPE(VLOOKUP(I88,Hraci!$A$5:$A$800,1,0))&gt;3),1,0) + IF(AND(N(O88)&gt;0,TYPE(VLOOKUP(O88,Hraci!$A$5:$A$800,1,0))&gt;3),1,0) + IF(AND(N(U88)&gt;0,TYPE(VLOOKUP(U88,Hraci!$A$5:$A$800,1,0))&gt;3),1,0)</f>
        <v>0</v>
      </c>
      <c r="BF88" s="334">
        <f t="shared" si="39"/>
        <v>78</v>
      </c>
    </row>
    <row r="89" spans="1:58" ht="14.25" x14ac:dyDescent="0.3">
      <c r="A89" s="358">
        <f t="shared" si="27"/>
        <v>0</v>
      </c>
      <c r="B89" s="358">
        <f t="shared" si="28"/>
        <v>0</v>
      </c>
      <c r="C89" s="358">
        <f t="shared" si="29"/>
        <v>0</v>
      </c>
      <c r="D89" s="358">
        <f t="shared" si="30"/>
        <v>99999</v>
      </c>
      <c r="E89" s="358">
        <f t="shared" si="31"/>
        <v>9999</v>
      </c>
      <c r="F89" s="359" t="str">
        <f t="shared" ca="1" si="32"/>
        <v>90000000900000990000460960</v>
      </c>
      <c r="G89" s="398" t="b">
        <f t="shared" si="33"/>
        <v>1</v>
      </c>
      <c r="H89" s="399">
        <f t="shared" si="34"/>
        <v>79</v>
      </c>
      <c r="I89" s="400" t="s">
        <v>2005</v>
      </c>
      <c r="J89" s="401" t="s">
        <v>1054</v>
      </c>
      <c r="K89" s="402" t="s">
        <v>1054</v>
      </c>
      <c r="L89" s="402" t="s">
        <v>1054</v>
      </c>
      <c r="M89" s="403">
        <v>9999</v>
      </c>
      <c r="N89" s="404">
        <v>0</v>
      </c>
      <c r="O89" s="400" t="s">
        <v>2005</v>
      </c>
      <c r="P89" s="401" t="s">
        <v>1054</v>
      </c>
      <c r="Q89" s="402" t="s">
        <v>1054</v>
      </c>
      <c r="R89" s="402" t="s">
        <v>1054</v>
      </c>
      <c r="S89" s="403">
        <v>9999</v>
      </c>
      <c r="T89" s="404">
        <v>0</v>
      </c>
      <c r="U89" s="400" t="s">
        <v>2005</v>
      </c>
      <c r="V89" s="401" t="s">
        <v>1054</v>
      </c>
      <c r="W89" s="402" t="s">
        <v>1054</v>
      </c>
      <c r="X89" s="402" t="s">
        <v>1054</v>
      </c>
      <c r="Y89" s="403">
        <v>9999</v>
      </c>
      <c r="Z89" s="404">
        <v>0</v>
      </c>
      <c r="AA89" s="400" t="s">
        <v>2005</v>
      </c>
      <c r="AB89" s="401" t="s">
        <v>1054</v>
      </c>
      <c r="AC89" s="402" t="s">
        <v>1054</v>
      </c>
      <c r="AD89" s="402" t="s">
        <v>1054</v>
      </c>
      <c r="AE89" s="403">
        <v>9999</v>
      </c>
      <c r="AF89" s="404">
        <v>0</v>
      </c>
      <c r="AG89" s="409"/>
      <c r="AH89" s="445">
        <f>IF(TYPE(VLOOKUP(H89,Centrum!$A$3:$E$130,5,0))&lt;4,VLOOKUP(H89,Centrum!$A$3:$E$130,5,0),0)</f>
        <v>0</v>
      </c>
      <c r="AI89" s="405" t="str">
        <f>IF(N($AH89)&gt;0,VLOOKUP($AH89,Body!$A$4:$F$259,5,0),"")</f>
        <v/>
      </c>
      <c r="AJ89" s="406" t="str">
        <f>IF(N($AH89)&gt;0,VLOOKUP($AH89,Body!$A$4:$F$259,6,0),"")</f>
        <v/>
      </c>
      <c r="AK89" s="405" t="str">
        <f>IF(N($AH89)&gt;0,VLOOKUP($AH89,Body!$A$4:$F$259,2,0),"")</f>
        <v/>
      </c>
      <c r="AL89" s="407" t="str">
        <f t="shared" si="35"/>
        <v/>
      </c>
      <c r="AM89" s="408">
        <f t="shared" si="36"/>
        <v>0</v>
      </c>
      <c r="AN89" s="334">
        <f>IF(OR(TYPE(I89)&gt;1,TYPE(MATCH(I89,I90:I$139,0))&gt;1),0,MATCH(I89,I90:I$139,0))+IF(OR(TYPE(I89)&gt;1,TYPE(MATCH(I89,O$11:O$139,0))&gt;1),0,MATCH(I89,O$11:O$139,0))+IF(OR(TYPE(I89)&gt;1,TYPE(MATCH(I89,U$11:U$139,0))&gt;1),0,MATCH(I89,U$11:U$139,0))+IF(OR(TYPE(I89)&gt;1,TYPE(MATCH(I89,AA$11:AA$139,0))&gt;1),0,MATCH(I89,AA$11:AA$139,0))</f>
        <v>0</v>
      </c>
      <c r="AO89" s="334">
        <f>IF(OR(TYPE(O89)&gt;1,TYPE(MATCH(O89,I$11:I$139,0))&gt;1),0,MATCH(O89,I$11:I$139,0))+IF(OR(TYPE(O89)&gt;1,TYPE(MATCH(O89,O90:O$139,0))&gt;1),0,MATCH(O89,O90:O$139,0))+IF(OR(TYPE(O89)&gt;1,TYPE(MATCH(O89,U$11:U$139,0))&gt;1),0,MATCH(O89,U$11:U$139,0))+IF(OR(TYPE(O89)&gt;1,TYPE(MATCH(O89,AA$11:AA$139,0))&gt;1),0,MATCH(O89,AA$11:AA$139,0))</f>
        <v>0</v>
      </c>
      <c r="AP89" s="334">
        <f>IF(OR(TYPE(U89)&gt;1,TYPE(MATCH(U89,I$11:I$139,0))&gt;1),0,MATCH(U89,I$11:I$139,0))+IF(OR(TYPE(U89)&gt;1,TYPE(MATCH(U89,O$11:O$139,0))&gt;1),0,MATCH(U89,O$11:O$139,0))+IF(OR(TYPE(U89)&gt;1,TYPE(MATCH(U89,U90:U$139,0))&gt;1),0,MATCH(U89,U90:U$139,0))+IF(OR(TYPE(U89)&gt;1,TYPE(MATCH(U89,AA$11:AA$139,0))&gt;1),0,MATCH(U89,AA$11:AA$139,0))</f>
        <v>0</v>
      </c>
      <c r="AQ89" s="334">
        <f>IF(OR(TYPE(AA89)&gt;1,TYPE(MATCH(AA89,I$11:I$139,0))&gt;1),0,MATCH(AA89,I$11:I$139,0))+IF(OR(TYPE(AA89)&gt;1,TYPE(MATCH(AA89,O$11:O$139,0))&gt;1),0,MATCH(AA89,O$11:O$139,0))+IF(OR(TYPE(AA89)&gt;1,TYPE(MATCH(AA89,U$11:U$139,0))&gt;1),0,MATCH(U89,U$11:U$139,0))+IF(OR(TYPE(AA89)&gt;1,TYPE(MATCH(AA89,AA90:AA$139,0))&gt;1),0,MATCH(AA89,AA90:AA$139,0))</f>
        <v>0</v>
      </c>
      <c r="AR89" s="334">
        <f t="shared" si="37"/>
        <v>0</v>
      </c>
      <c r="AT89" s="333">
        <f t="shared" si="38"/>
        <v>0</v>
      </c>
      <c r="AU89" s="333">
        <f>IF(AND(N(I89)&gt;0,TYPE(VLOOKUP(I89,Hraci!$A$5:$A$800,1,0))&gt;3),1,0) + IF(AND(N(O89)&gt;0,TYPE(VLOOKUP(O89,Hraci!$A$5:$A$800,1,0))&gt;3),1,0) + IF(AND(N(U89)&gt;0,TYPE(VLOOKUP(U89,Hraci!$A$5:$A$800,1,0))&gt;3),1,0)</f>
        <v>0</v>
      </c>
      <c r="BF89" s="334">
        <f t="shared" si="39"/>
        <v>79</v>
      </c>
    </row>
    <row r="90" spans="1:58" ht="14.25" x14ac:dyDescent="0.3">
      <c r="A90" s="358">
        <f t="shared" si="27"/>
        <v>0</v>
      </c>
      <c r="B90" s="358">
        <f t="shared" si="28"/>
        <v>0</v>
      </c>
      <c r="C90" s="358">
        <f t="shared" si="29"/>
        <v>0</v>
      </c>
      <c r="D90" s="358">
        <f t="shared" si="30"/>
        <v>99999</v>
      </c>
      <c r="E90" s="358">
        <f t="shared" si="31"/>
        <v>9999</v>
      </c>
      <c r="F90" s="359" t="str">
        <f t="shared" ca="1" si="32"/>
        <v>90000000900000990000794033</v>
      </c>
      <c r="G90" s="398" t="b">
        <f t="shared" si="33"/>
        <v>1</v>
      </c>
      <c r="H90" s="399">
        <f t="shared" si="34"/>
        <v>80</v>
      </c>
      <c r="I90" s="400" t="s">
        <v>2005</v>
      </c>
      <c r="J90" s="401" t="s">
        <v>1054</v>
      </c>
      <c r="K90" s="402" t="s">
        <v>1054</v>
      </c>
      <c r="L90" s="402" t="s">
        <v>1054</v>
      </c>
      <c r="M90" s="403">
        <v>9999</v>
      </c>
      <c r="N90" s="404">
        <v>0</v>
      </c>
      <c r="O90" s="400" t="s">
        <v>2005</v>
      </c>
      <c r="P90" s="401" t="s">
        <v>1054</v>
      </c>
      <c r="Q90" s="402" t="s">
        <v>1054</v>
      </c>
      <c r="R90" s="402" t="s">
        <v>1054</v>
      </c>
      <c r="S90" s="403">
        <v>9999</v>
      </c>
      <c r="T90" s="404">
        <v>0</v>
      </c>
      <c r="U90" s="400" t="s">
        <v>2005</v>
      </c>
      <c r="V90" s="401" t="s">
        <v>1054</v>
      </c>
      <c r="W90" s="402" t="s">
        <v>1054</v>
      </c>
      <c r="X90" s="402" t="s">
        <v>1054</v>
      </c>
      <c r="Y90" s="403">
        <v>9999</v>
      </c>
      <c r="Z90" s="404">
        <v>0</v>
      </c>
      <c r="AA90" s="400" t="s">
        <v>2005</v>
      </c>
      <c r="AB90" s="401" t="s">
        <v>1054</v>
      </c>
      <c r="AC90" s="402" t="s">
        <v>1054</v>
      </c>
      <c r="AD90" s="402" t="s">
        <v>1054</v>
      </c>
      <c r="AE90" s="403">
        <v>9999</v>
      </c>
      <c r="AF90" s="404">
        <v>0</v>
      </c>
      <c r="AG90" s="409"/>
      <c r="AH90" s="445">
        <f>IF(TYPE(VLOOKUP(H90,Centrum!$A$3:$E$130,5,0))&lt;4,VLOOKUP(H90,Centrum!$A$3:$E$130,5,0),0)</f>
        <v>0</v>
      </c>
      <c r="AI90" s="405" t="str">
        <f>IF(N($AH90)&gt;0,VLOOKUP($AH90,Body!$A$4:$F$259,5,0),"")</f>
        <v/>
      </c>
      <c r="AJ90" s="406" t="str">
        <f>IF(N($AH90)&gt;0,VLOOKUP($AH90,Body!$A$4:$F$259,6,0),"")</f>
        <v/>
      </c>
      <c r="AK90" s="405" t="str">
        <f>IF(N($AH90)&gt;0,VLOOKUP($AH90,Body!$A$4:$F$259,2,0),"")</f>
        <v/>
      </c>
      <c r="AL90" s="407" t="str">
        <f t="shared" si="35"/>
        <v/>
      </c>
      <c r="AM90" s="408">
        <f t="shared" si="36"/>
        <v>0</v>
      </c>
      <c r="AN90" s="334">
        <f>IF(OR(TYPE(I90)&gt;1,TYPE(MATCH(I90,I91:I$139,0))&gt;1),0,MATCH(I90,I91:I$139,0))+IF(OR(TYPE(I90)&gt;1,TYPE(MATCH(I90,O$11:O$139,0))&gt;1),0,MATCH(I90,O$11:O$139,0))+IF(OR(TYPE(I90)&gt;1,TYPE(MATCH(I90,U$11:U$139,0))&gt;1),0,MATCH(I90,U$11:U$139,0))+IF(OR(TYPE(I90)&gt;1,TYPE(MATCH(I90,AA$11:AA$139,0))&gt;1),0,MATCH(I90,AA$11:AA$139,0))</f>
        <v>0</v>
      </c>
      <c r="AO90" s="334">
        <f>IF(OR(TYPE(O90)&gt;1,TYPE(MATCH(O90,I$11:I$139,0))&gt;1),0,MATCH(O90,I$11:I$139,0))+IF(OR(TYPE(O90)&gt;1,TYPE(MATCH(O90,O91:O$139,0))&gt;1),0,MATCH(O90,O91:O$139,0))+IF(OR(TYPE(O90)&gt;1,TYPE(MATCH(O90,U$11:U$139,0))&gt;1),0,MATCH(O90,U$11:U$139,0))+IF(OR(TYPE(O90)&gt;1,TYPE(MATCH(O90,AA$11:AA$139,0))&gt;1),0,MATCH(O90,AA$11:AA$139,0))</f>
        <v>0</v>
      </c>
      <c r="AP90" s="334">
        <f>IF(OR(TYPE(U90)&gt;1,TYPE(MATCH(U90,I$11:I$139,0))&gt;1),0,MATCH(U90,I$11:I$139,0))+IF(OR(TYPE(U90)&gt;1,TYPE(MATCH(U90,O$11:O$139,0))&gt;1),0,MATCH(U90,O$11:O$139,0))+IF(OR(TYPE(U90)&gt;1,TYPE(MATCH(U90,U91:U$139,0))&gt;1),0,MATCH(U90,U91:U$139,0))+IF(OR(TYPE(U90)&gt;1,TYPE(MATCH(U90,AA$11:AA$139,0))&gt;1),0,MATCH(U90,AA$11:AA$139,0))</f>
        <v>0</v>
      </c>
      <c r="AQ90" s="334">
        <f>IF(OR(TYPE(AA90)&gt;1,TYPE(MATCH(AA90,I$11:I$139,0))&gt;1),0,MATCH(AA90,I$11:I$139,0))+IF(OR(TYPE(AA90)&gt;1,TYPE(MATCH(AA90,O$11:O$139,0))&gt;1),0,MATCH(AA90,O$11:O$139,0))+IF(OR(TYPE(AA90)&gt;1,TYPE(MATCH(AA90,U$11:U$139,0))&gt;1),0,MATCH(U90,U$11:U$139,0))+IF(OR(TYPE(AA90)&gt;1,TYPE(MATCH(AA90,AA91:AA$139,0))&gt;1),0,MATCH(AA90,AA91:AA$139,0))</f>
        <v>0</v>
      </c>
      <c r="AR90" s="334">
        <f t="shared" si="37"/>
        <v>0</v>
      </c>
      <c r="AT90" s="333">
        <f t="shared" si="38"/>
        <v>0</v>
      </c>
      <c r="AU90" s="333">
        <f>IF(AND(N(I90)&gt;0,TYPE(VLOOKUP(I90,Hraci!$A$5:$A$800,1,0))&gt;3),1,0) + IF(AND(N(O90)&gt;0,TYPE(VLOOKUP(O90,Hraci!$A$5:$A$800,1,0))&gt;3),1,0) + IF(AND(N(U90)&gt;0,TYPE(VLOOKUP(U90,Hraci!$A$5:$A$800,1,0))&gt;3),1,0)</f>
        <v>0</v>
      </c>
      <c r="BF90" s="334">
        <f t="shared" si="39"/>
        <v>80</v>
      </c>
    </row>
    <row r="91" spans="1:58" ht="14.25" x14ac:dyDescent="0.3">
      <c r="A91" s="358">
        <f t="shared" si="27"/>
        <v>0</v>
      </c>
      <c r="B91" s="358">
        <f t="shared" si="28"/>
        <v>0</v>
      </c>
      <c r="C91" s="358">
        <f t="shared" si="29"/>
        <v>0</v>
      </c>
      <c r="D91" s="358">
        <f t="shared" si="30"/>
        <v>99999</v>
      </c>
      <c r="E91" s="358">
        <f t="shared" si="31"/>
        <v>9999</v>
      </c>
      <c r="F91" s="359" t="str">
        <f t="shared" ca="1" si="32"/>
        <v>90000000900000990000357190</v>
      </c>
      <c r="G91" s="398" t="b">
        <f t="shared" si="33"/>
        <v>1</v>
      </c>
      <c r="H91" s="399">
        <f t="shared" si="34"/>
        <v>81</v>
      </c>
      <c r="I91" s="400" t="s">
        <v>2005</v>
      </c>
      <c r="J91" s="401" t="s">
        <v>1054</v>
      </c>
      <c r="K91" s="402" t="s">
        <v>1054</v>
      </c>
      <c r="L91" s="402" t="s">
        <v>1054</v>
      </c>
      <c r="M91" s="403">
        <v>9999</v>
      </c>
      <c r="N91" s="404">
        <v>0</v>
      </c>
      <c r="O91" s="400" t="s">
        <v>2005</v>
      </c>
      <c r="P91" s="401" t="s">
        <v>1054</v>
      </c>
      <c r="Q91" s="402" t="s">
        <v>1054</v>
      </c>
      <c r="R91" s="402" t="s">
        <v>1054</v>
      </c>
      <c r="S91" s="403">
        <v>9999</v>
      </c>
      <c r="T91" s="404">
        <v>0</v>
      </c>
      <c r="U91" s="400" t="s">
        <v>2005</v>
      </c>
      <c r="V91" s="401" t="s">
        <v>1054</v>
      </c>
      <c r="W91" s="402" t="s">
        <v>1054</v>
      </c>
      <c r="X91" s="402" t="s">
        <v>1054</v>
      </c>
      <c r="Y91" s="403">
        <v>9999</v>
      </c>
      <c r="Z91" s="404">
        <v>0</v>
      </c>
      <c r="AA91" s="400" t="s">
        <v>2005</v>
      </c>
      <c r="AB91" s="401" t="s">
        <v>1054</v>
      </c>
      <c r="AC91" s="402" t="s">
        <v>1054</v>
      </c>
      <c r="AD91" s="402" t="s">
        <v>1054</v>
      </c>
      <c r="AE91" s="403">
        <v>9999</v>
      </c>
      <c r="AF91" s="404">
        <v>0</v>
      </c>
      <c r="AG91" s="409"/>
      <c r="AH91" s="445">
        <f>IF(TYPE(VLOOKUP(H91,Centrum!$A$3:$E$130,5,0))&lt;4,VLOOKUP(H91,Centrum!$A$3:$E$130,5,0),0)</f>
        <v>0</v>
      </c>
      <c r="AI91" s="405" t="str">
        <f>IF(N($AH91)&gt;0,VLOOKUP($AH91,Body!$A$4:$F$259,5,0),"")</f>
        <v/>
      </c>
      <c r="AJ91" s="406" t="str">
        <f>IF(N($AH91)&gt;0,VLOOKUP($AH91,Body!$A$4:$F$259,6,0),"")</f>
        <v/>
      </c>
      <c r="AK91" s="405" t="str">
        <f>IF(N($AH91)&gt;0,VLOOKUP($AH91,Body!$A$4:$F$259,2,0),"")</f>
        <v/>
      </c>
      <c r="AL91" s="407" t="str">
        <f t="shared" si="35"/>
        <v/>
      </c>
      <c r="AM91" s="408">
        <f t="shared" si="36"/>
        <v>0</v>
      </c>
      <c r="AN91" s="334">
        <f>IF(OR(TYPE(I91)&gt;1,TYPE(MATCH(I91,I92:I$139,0))&gt;1),0,MATCH(I91,I92:I$139,0))+IF(OR(TYPE(I91)&gt;1,TYPE(MATCH(I91,O$11:O$139,0))&gt;1),0,MATCH(I91,O$11:O$139,0))+IF(OR(TYPE(I91)&gt;1,TYPE(MATCH(I91,U$11:U$139,0))&gt;1),0,MATCH(I91,U$11:U$139,0))+IF(OR(TYPE(I91)&gt;1,TYPE(MATCH(I91,AA$11:AA$139,0))&gt;1),0,MATCH(I91,AA$11:AA$139,0))</f>
        <v>0</v>
      </c>
      <c r="AO91" s="334">
        <f>IF(OR(TYPE(O91)&gt;1,TYPE(MATCH(O91,I$11:I$139,0))&gt;1),0,MATCH(O91,I$11:I$139,0))+IF(OR(TYPE(O91)&gt;1,TYPE(MATCH(O91,O92:O$139,0))&gt;1),0,MATCH(O91,O92:O$139,0))+IF(OR(TYPE(O91)&gt;1,TYPE(MATCH(O91,U$11:U$139,0))&gt;1),0,MATCH(O91,U$11:U$139,0))+IF(OR(TYPE(O91)&gt;1,TYPE(MATCH(O91,AA$11:AA$139,0))&gt;1),0,MATCH(O91,AA$11:AA$139,0))</f>
        <v>0</v>
      </c>
      <c r="AP91" s="334">
        <f>IF(OR(TYPE(U91)&gt;1,TYPE(MATCH(U91,I$11:I$139,0))&gt;1),0,MATCH(U91,I$11:I$139,0))+IF(OR(TYPE(U91)&gt;1,TYPE(MATCH(U91,O$11:O$139,0))&gt;1),0,MATCH(U91,O$11:O$139,0))+IF(OR(TYPE(U91)&gt;1,TYPE(MATCH(U91,U92:U$139,0))&gt;1),0,MATCH(U91,U92:U$139,0))+IF(OR(TYPE(U91)&gt;1,TYPE(MATCH(U91,AA$11:AA$139,0))&gt;1),0,MATCH(U91,AA$11:AA$139,0))</f>
        <v>0</v>
      </c>
      <c r="AQ91" s="334">
        <f>IF(OR(TYPE(AA91)&gt;1,TYPE(MATCH(AA91,I$11:I$139,0))&gt;1),0,MATCH(AA91,I$11:I$139,0))+IF(OR(TYPE(AA91)&gt;1,TYPE(MATCH(AA91,O$11:O$139,0))&gt;1),0,MATCH(AA91,O$11:O$139,0))+IF(OR(TYPE(AA91)&gt;1,TYPE(MATCH(AA91,U$11:U$139,0))&gt;1),0,MATCH(U91,U$11:U$139,0))+IF(OR(TYPE(AA91)&gt;1,TYPE(MATCH(AA91,AA92:AA$139,0))&gt;1),0,MATCH(AA91,AA92:AA$139,0))</f>
        <v>0</v>
      </c>
      <c r="AR91" s="334">
        <f t="shared" si="37"/>
        <v>0</v>
      </c>
      <c r="AT91" s="333">
        <f t="shared" si="38"/>
        <v>0</v>
      </c>
      <c r="AU91" s="333">
        <f>IF(AND(N(I91)&gt;0,TYPE(VLOOKUP(I91,Hraci!$A$5:$A$800,1,0))&gt;3),1,0) + IF(AND(N(O91)&gt;0,TYPE(VLOOKUP(O91,Hraci!$A$5:$A$800,1,0))&gt;3),1,0) + IF(AND(N(U91)&gt;0,TYPE(VLOOKUP(U91,Hraci!$A$5:$A$800,1,0))&gt;3),1,0)</f>
        <v>0</v>
      </c>
      <c r="BF91" s="334">
        <f t="shared" si="39"/>
        <v>81</v>
      </c>
    </row>
    <row r="92" spans="1:58" ht="14.25" x14ac:dyDescent="0.3">
      <c r="A92" s="358">
        <f t="shared" si="27"/>
        <v>0</v>
      </c>
      <c r="B92" s="358">
        <f t="shared" si="28"/>
        <v>0</v>
      </c>
      <c r="C92" s="358">
        <f t="shared" si="29"/>
        <v>0</v>
      </c>
      <c r="D92" s="358">
        <f t="shared" si="30"/>
        <v>99999</v>
      </c>
      <c r="E92" s="358">
        <f t="shared" si="31"/>
        <v>9999</v>
      </c>
      <c r="F92" s="359" t="str">
        <f t="shared" ca="1" si="32"/>
        <v>90000000900000990000778325</v>
      </c>
      <c r="G92" s="398" t="b">
        <f t="shared" si="33"/>
        <v>1</v>
      </c>
      <c r="H92" s="399">
        <f t="shared" si="34"/>
        <v>82</v>
      </c>
      <c r="I92" s="400" t="s">
        <v>2005</v>
      </c>
      <c r="J92" s="401" t="s">
        <v>1054</v>
      </c>
      <c r="K92" s="402" t="s">
        <v>1054</v>
      </c>
      <c r="L92" s="402" t="s">
        <v>1054</v>
      </c>
      <c r="M92" s="403">
        <v>9999</v>
      </c>
      <c r="N92" s="404">
        <v>0</v>
      </c>
      <c r="O92" s="400" t="s">
        <v>2005</v>
      </c>
      <c r="P92" s="401" t="s">
        <v>1054</v>
      </c>
      <c r="Q92" s="402" t="s">
        <v>1054</v>
      </c>
      <c r="R92" s="402" t="s">
        <v>1054</v>
      </c>
      <c r="S92" s="403">
        <v>9999</v>
      </c>
      <c r="T92" s="404">
        <v>0</v>
      </c>
      <c r="U92" s="400" t="s">
        <v>2005</v>
      </c>
      <c r="V92" s="401" t="s">
        <v>1054</v>
      </c>
      <c r="W92" s="402" t="s">
        <v>1054</v>
      </c>
      <c r="X92" s="402" t="s">
        <v>1054</v>
      </c>
      <c r="Y92" s="403">
        <v>9999</v>
      </c>
      <c r="Z92" s="404">
        <v>0</v>
      </c>
      <c r="AA92" s="400" t="s">
        <v>2005</v>
      </c>
      <c r="AB92" s="401" t="s">
        <v>1054</v>
      </c>
      <c r="AC92" s="402" t="s">
        <v>1054</v>
      </c>
      <c r="AD92" s="402" t="s">
        <v>1054</v>
      </c>
      <c r="AE92" s="403">
        <v>9999</v>
      </c>
      <c r="AF92" s="404">
        <v>0</v>
      </c>
      <c r="AG92" s="409"/>
      <c r="AH92" s="445">
        <f>IF(TYPE(VLOOKUP(H92,Centrum!$A$3:$E$130,5,0))&lt;4,VLOOKUP(H92,Centrum!$A$3:$E$130,5,0),0)</f>
        <v>0</v>
      </c>
      <c r="AI92" s="405" t="str">
        <f>IF(N($AH92)&gt;0,VLOOKUP($AH92,Body!$A$4:$F$259,5,0),"")</f>
        <v/>
      </c>
      <c r="AJ92" s="406" t="str">
        <f>IF(N($AH92)&gt;0,VLOOKUP($AH92,Body!$A$4:$F$259,6,0),"")</f>
        <v/>
      </c>
      <c r="AK92" s="405" t="str">
        <f>IF(N($AH92)&gt;0,VLOOKUP($AH92,Body!$A$4:$F$259,2,0),"")</f>
        <v/>
      </c>
      <c r="AL92" s="407" t="str">
        <f t="shared" si="35"/>
        <v/>
      </c>
      <c r="AM92" s="408">
        <f t="shared" si="36"/>
        <v>0</v>
      </c>
      <c r="AN92" s="334">
        <f>IF(OR(TYPE(I92)&gt;1,TYPE(MATCH(I92,I93:I$139,0))&gt;1),0,MATCH(I92,I93:I$139,0))+IF(OR(TYPE(I92)&gt;1,TYPE(MATCH(I92,O$11:O$139,0))&gt;1),0,MATCH(I92,O$11:O$139,0))+IF(OR(TYPE(I92)&gt;1,TYPE(MATCH(I92,U$11:U$139,0))&gt;1),0,MATCH(I92,U$11:U$139,0))+IF(OR(TYPE(I92)&gt;1,TYPE(MATCH(I92,AA$11:AA$139,0))&gt;1),0,MATCH(I92,AA$11:AA$139,0))</f>
        <v>0</v>
      </c>
      <c r="AO92" s="334">
        <f>IF(OR(TYPE(O92)&gt;1,TYPE(MATCH(O92,I$11:I$139,0))&gt;1),0,MATCH(O92,I$11:I$139,0))+IF(OR(TYPE(O92)&gt;1,TYPE(MATCH(O92,O93:O$139,0))&gt;1),0,MATCH(O92,O93:O$139,0))+IF(OR(TYPE(O92)&gt;1,TYPE(MATCH(O92,U$11:U$139,0))&gt;1),0,MATCH(O92,U$11:U$139,0))+IF(OR(TYPE(O92)&gt;1,TYPE(MATCH(O92,AA$11:AA$139,0))&gt;1),0,MATCH(O92,AA$11:AA$139,0))</f>
        <v>0</v>
      </c>
      <c r="AP92" s="334">
        <f>IF(OR(TYPE(U92)&gt;1,TYPE(MATCH(U92,I$11:I$139,0))&gt;1),0,MATCH(U92,I$11:I$139,0))+IF(OR(TYPE(U92)&gt;1,TYPE(MATCH(U92,O$11:O$139,0))&gt;1),0,MATCH(U92,O$11:O$139,0))+IF(OR(TYPE(U92)&gt;1,TYPE(MATCH(U92,U93:U$139,0))&gt;1),0,MATCH(U92,U93:U$139,0))+IF(OR(TYPE(U92)&gt;1,TYPE(MATCH(U92,AA$11:AA$139,0))&gt;1),0,MATCH(U92,AA$11:AA$139,0))</f>
        <v>0</v>
      </c>
      <c r="AQ92" s="334">
        <f>IF(OR(TYPE(AA92)&gt;1,TYPE(MATCH(AA92,I$11:I$139,0))&gt;1),0,MATCH(AA92,I$11:I$139,0))+IF(OR(TYPE(AA92)&gt;1,TYPE(MATCH(AA92,O$11:O$139,0))&gt;1),0,MATCH(AA92,O$11:O$139,0))+IF(OR(TYPE(AA92)&gt;1,TYPE(MATCH(AA92,U$11:U$139,0))&gt;1),0,MATCH(U92,U$11:U$139,0))+IF(OR(TYPE(AA92)&gt;1,TYPE(MATCH(AA92,AA93:AA$139,0))&gt;1),0,MATCH(AA92,AA93:AA$139,0))</f>
        <v>0</v>
      </c>
      <c r="AR92" s="334">
        <f t="shared" si="37"/>
        <v>0</v>
      </c>
      <c r="AT92" s="333">
        <f t="shared" si="38"/>
        <v>0</v>
      </c>
      <c r="AU92" s="333">
        <f>IF(AND(N(I92)&gt;0,TYPE(VLOOKUP(I92,Hraci!$A$5:$A$800,1,0))&gt;3),1,0) + IF(AND(N(O92)&gt;0,TYPE(VLOOKUP(O92,Hraci!$A$5:$A$800,1,0))&gt;3),1,0) + IF(AND(N(U92)&gt;0,TYPE(VLOOKUP(U92,Hraci!$A$5:$A$800,1,0))&gt;3),1,0)</f>
        <v>0</v>
      </c>
      <c r="BF92" s="334">
        <f t="shared" si="39"/>
        <v>82</v>
      </c>
    </row>
    <row r="93" spans="1:58" ht="14.25" x14ac:dyDescent="0.3">
      <c r="A93" s="358">
        <f t="shared" si="27"/>
        <v>0</v>
      </c>
      <c r="B93" s="358">
        <f t="shared" si="28"/>
        <v>0</v>
      </c>
      <c r="C93" s="358">
        <f t="shared" si="29"/>
        <v>0</v>
      </c>
      <c r="D93" s="358">
        <f t="shared" si="30"/>
        <v>99999</v>
      </c>
      <c r="E93" s="358">
        <f t="shared" si="31"/>
        <v>9999</v>
      </c>
      <c r="F93" s="359" t="str">
        <f t="shared" ca="1" si="32"/>
        <v>90000000900000990000567634</v>
      </c>
      <c r="G93" s="398" t="b">
        <f t="shared" si="33"/>
        <v>1</v>
      </c>
      <c r="H93" s="399">
        <f t="shared" si="34"/>
        <v>83</v>
      </c>
      <c r="I93" s="400" t="s">
        <v>2005</v>
      </c>
      <c r="J93" s="401" t="s">
        <v>1054</v>
      </c>
      <c r="K93" s="402" t="s">
        <v>1054</v>
      </c>
      <c r="L93" s="402" t="s">
        <v>1054</v>
      </c>
      <c r="M93" s="403">
        <v>9999</v>
      </c>
      <c r="N93" s="404">
        <v>0</v>
      </c>
      <c r="O93" s="400" t="s">
        <v>2005</v>
      </c>
      <c r="P93" s="401" t="s">
        <v>1054</v>
      </c>
      <c r="Q93" s="402" t="s">
        <v>1054</v>
      </c>
      <c r="R93" s="402" t="s">
        <v>1054</v>
      </c>
      <c r="S93" s="403">
        <v>9999</v>
      </c>
      <c r="T93" s="404">
        <v>0</v>
      </c>
      <c r="U93" s="400" t="s">
        <v>2005</v>
      </c>
      <c r="V93" s="401" t="s">
        <v>1054</v>
      </c>
      <c r="W93" s="402" t="s">
        <v>1054</v>
      </c>
      <c r="X93" s="402" t="s">
        <v>1054</v>
      </c>
      <c r="Y93" s="403">
        <v>9999</v>
      </c>
      <c r="Z93" s="404">
        <v>0</v>
      </c>
      <c r="AA93" s="400" t="s">
        <v>2005</v>
      </c>
      <c r="AB93" s="401" t="s">
        <v>1054</v>
      </c>
      <c r="AC93" s="402" t="s">
        <v>1054</v>
      </c>
      <c r="AD93" s="402" t="s">
        <v>1054</v>
      </c>
      <c r="AE93" s="403">
        <v>9999</v>
      </c>
      <c r="AF93" s="404">
        <v>0</v>
      </c>
      <c r="AG93" s="409"/>
      <c r="AH93" s="445">
        <f>IF(TYPE(VLOOKUP(H93,Centrum!$A$3:$E$130,5,0))&lt;4,VLOOKUP(H93,Centrum!$A$3:$E$130,5,0),0)</f>
        <v>0</v>
      </c>
      <c r="AI93" s="405" t="str">
        <f>IF(N($AH93)&gt;0,VLOOKUP($AH93,Body!$A$4:$F$259,5,0),"")</f>
        <v/>
      </c>
      <c r="AJ93" s="406" t="str">
        <f>IF(N($AH93)&gt;0,VLOOKUP($AH93,Body!$A$4:$F$259,6,0),"")</f>
        <v/>
      </c>
      <c r="AK93" s="405" t="str">
        <f>IF(N($AH93)&gt;0,VLOOKUP($AH93,Body!$A$4:$F$259,2,0),"")</f>
        <v/>
      </c>
      <c r="AL93" s="407" t="str">
        <f t="shared" si="35"/>
        <v/>
      </c>
      <c r="AM93" s="408">
        <f t="shared" si="36"/>
        <v>0</v>
      </c>
      <c r="AN93" s="334">
        <f>IF(OR(TYPE(I93)&gt;1,TYPE(MATCH(I93,I94:I$139,0))&gt;1),0,MATCH(I93,I94:I$139,0))+IF(OR(TYPE(I93)&gt;1,TYPE(MATCH(I93,O$11:O$139,0))&gt;1),0,MATCH(I93,O$11:O$139,0))+IF(OR(TYPE(I93)&gt;1,TYPE(MATCH(I93,U$11:U$139,0))&gt;1),0,MATCH(I93,U$11:U$139,0))+IF(OR(TYPE(I93)&gt;1,TYPE(MATCH(I93,AA$11:AA$139,0))&gt;1),0,MATCH(I93,AA$11:AA$139,0))</f>
        <v>0</v>
      </c>
      <c r="AO93" s="334">
        <f>IF(OR(TYPE(O93)&gt;1,TYPE(MATCH(O93,I$11:I$139,0))&gt;1),0,MATCH(O93,I$11:I$139,0))+IF(OR(TYPE(O93)&gt;1,TYPE(MATCH(O93,O94:O$139,0))&gt;1),0,MATCH(O93,O94:O$139,0))+IF(OR(TYPE(O93)&gt;1,TYPE(MATCH(O93,U$11:U$139,0))&gt;1),0,MATCH(O93,U$11:U$139,0))+IF(OR(TYPE(O93)&gt;1,TYPE(MATCH(O93,AA$11:AA$139,0))&gt;1),0,MATCH(O93,AA$11:AA$139,0))</f>
        <v>0</v>
      </c>
      <c r="AP93" s="334">
        <f>IF(OR(TYPE(U93)&gt;1,TYPE(MATCH(U93,I$11:I$139,0))&gt;1),0,MATCH(U93,I$11:I$139,0))+IF(OR(TYPE(U93)&gt;1,TYPE(MATCH(U93,O$11:O$139,0))&gt;1),0,MATCH(U93,O$11:O$139,0))+IF(OR(TYPE(U93)&gt;1,TYPE(MATCH(U93,U94:U$139,0))&gt;1),0,MATCH(U93,U94:U$139,0))+IF(OR(TYPE(U93)&gt;1,TYPE(MATCH(U93,AA$11:AA$139,0))&gt;1),0,MATCH(U93,AA$11:AA$139,0))</f>
        <v>0</v>
      </c>
      <c r="AQ93" s="334">
        <f>IF(OR(TYPE(AA93)&gt;1,TYPE(MATCH(AA93,I$11:I$139,0))&gt;1),0,MATCH(AA93,I$11:I$139,0))+IF(OR(TYPE(AA93)&gt;1,TYPE(MATCH(AA93,O$11:O$139,0))&gt;1),0,MATCH(AA93,O$11:O$139,0))+IF(OR(TYPE(AA93)&gt;1,TYPE(MATCH(AA93,U$11:U$139,0))&gt;1),0,MATCH(U93,U$11:U$139,0))+IF(OR(TYPE(AA93)&gt;1,TYPE(MATCH(AA93,AA94:AA$139,0))&gt;1),0,MATCH(AA93,AA94:AA$139,0))</f>
        <v>0</v>
      </c>
      <c r="AR93" s="334">
        <f t="shared" si="37"/>
        <v>0</v>
      </c>
      <c r="AT93" s="333">
        <f t="shared" si="38"/>
        <v>0</v>
      </c>
      <c r="AU93" s="333">
        <f>IF(AND(N(I93)&gt;0,TYPE(VLOOKUP(I93,Hraci!$A$5:$A$800,1,0))&gt;3),1,0) + IF(AND(N(O93)&gt;0,TYPE(VLOOKUP(O93,Hraci!$A$5:$A$800,1,0))&gt;3),1,0) + IF(AND(N(U93)&gt;0,TYPE(VLOOKUP(U93,Hraci!$A$5:$A$800,1,0))&gt;3),1,0)</f>
        <v>0</v>
      </c>
      <c r="BF93" s="334">
        <f t="shared" si="39"/>
        <v>83</v>
      </c>
    </row>
    <row r="94" spans="1:58" ht="14.25" x14ac:dyDescent="0.3">
      <c r="A94" s="358">
        <f t="shared" si="27"/>
        <v>0</v>
      </c>
      <c r="B94" s="358">
        <f t="shared" si="28"/>
        <v>0</v>
      </c>
      <c r="C94" s="358">
        <f t="shared" si="29"/>
        <v>0</v>
      </c>
      <c r="D94" s="358">
        <f t="shared" si="30"/>
        <v>99999</v>
      </c>
      <c r="E94" s="358">
        <f t="shared" si="31"/>
        <v>9999</v>
      </c>
      <c r="F94" s="359" t="str">
        <f t="shared" ca="1" si="32"/>
        <v>90000000900000990000581502</v>
      </c>
      <c r="G94" s="398" t="b">
        <f t="shared" si="33"/>
        <v>1</v>
      </c>
      <c r="H94" s="399">
        <f t="shared" si="34"/>
        <v>84</v>
      </c>
      <c r="I94" s="400" t="s">
        <v>2005</v>
      </c>
      <c r="J94" s="401" t="s">
        <v>1054</v>
      </c>
      <c r="K94" s="402" t="s">
        <v>1054</v>
      </c>
      <c r="L94" s="402" t="s">
        <v>1054</v>
      </c>
      <c r="M94" s="403">
        <v>9999</v>
      </c>
      <c r="N94" s="404">
        <v>0</v>
      </c>
      <c r="O94" s="400" t="s">
        <v>2005</v>
      </c>
      <c r="P94" s="401" t="s">
        <v>1054</v>
      </c>
      <c r="Q94" s="402" t="s">
        <v>1054</v>
      </c>
      <c r="R94" s="402" t="s">
        <v>1054</v>
      </c>
      <c r="S94" s="403">
        <v>9999</v>
      </c>
      <c r="T94" s="404">
        <v>0</v>
      </c>
      <c r="U94" s="400" t="s">
        <v>2005</v>
      </c>
      <c r="V94" s="401" t="s">
        <v>1054</v>
      </c>
      <c r="W94" s="402" t="s">
        <v>1054</v>
      </c>
      <c r="X94" s="402" t="s">
        <v>1054</v>
      </c>
      <c r="Y94" s="403">
        <v>9999</v>
      </c>
      <c r="Z94" s="404">
        <v>0</v>
      </c>
      <c r="AA94" s="400" t="s">
        <v>2005</v>
      </c>
      <c r="AB94" s="401" t="s">
        <v>1054</v>
      </c>
      <c r="AC94" s="402" t="s">
        <v>1054</v>
      </c>
      <c r="AD94" s="402" t="s">
        <v>1054</v>
      </c>
      <c r="AE94" s="403">
        <v>9999</v>
      </c>
      <c r="AF94" s="404">
        <v>0</v>
      </c>
      <c r="AG94" s="409"/>
      <c r="AH94" s="445">
        <f>IF(TYPE(VLOOKUP(H94,Centrum!$A$3:$E$130,5,0))&lt;4,VLOOKUP(H94,Centrum!$A$3:$E$130,5,0),0)</f>
        <v>0</v>
      </c>
      <c r="AI94" s="405" t="str">
        <f>IF(N($AH94)&gt;0,VLOOKUP($AH94,Body!$A$4:$F$259,5,0),"")</f>
        <v/>
      </c>
      <c r="AJ94" s="406" t="str">
        <f>IF(N($AH94)&gt;0,VLOOKUP($AH94,Body!$A$4:$F$259,6,0),"")</f>
        <v/>
      </c>
      <c r="AK94" s="405" t="str">
        <f>IF(N($AH94)&gt;0,VLOOKUP($AH94,Body!$A$4:$F$259,2,0),"")</f>
        <v/>
      </c>
      <c r="AL94" s="407" t="str">
        <f t="shared" si="35"/>
        <v/>
      </c>
      <c r="AM94" s="408">
        <f t="shared" si="36"/>
        <v>0</v>
      </c>
      <c r="AN94" s="334">
        <f>IF(OR(TYPE(I94)&gt;1,TYPE(MATCH(I94,I95:I$139,0))&gt;1),0,MATCH(I94,I95:I$139,0))+IF(OR(TYPE(I94)&gt;1,TYPE(MATCH(I94,O$11:O$139,0))&gt;1),0,MATCH(I94,O$11:O$139,0))+IF(OR(TYPE(I94)&gt;1,TYPE(MATCH(I94,U$11:U$139,0))&gt;1),0,MATCH(I94,U$11:U$139,0))+IF(OR(TYPE(I94)&gt;1,TYPE(MATCH(I94,AA$11:AA$139,0))&gt;1),0,MATCH(I94,AA$11:AA$139,0))</f>
        <v>0</v>
      </c>
      <c r="AO94" s="334">
        <f>IF(OR(TYPE(O94)&gt;1,TYPE(MATCH(O94,I$11:I$139,0))&gt;1),0,MATCH(O94,I$11:I$139,0))+IF(OR(TYPE(O94)&gt;1,TYPE(MATCH(O94,O95:O$139,0))&gt;1),0,MATCH(O94,O95:O$139,0))+IF(OR(TYPE(O94)&gt;1,TYPE(MATCH(O94,U$11:U$139,0))&gt;1),0,MATCH(O94,U$11:U$139,0))+IF(OR(TYPE(O94)&gt;1,TYPE(MATCH(O94,AA$11:AA$139,0))&gt;1),0,MATCH(O94,AA$11:AA$139,0))</f>
        <v>0</v>
      </c>
      <c r="AP94" s="334">
        <f>IF(OR(TYPE(U94)&gt;1,TYPE(MATCH(U94,I$11:I$139,0))&gt;1),0,MATCH(U94,I$11:I$139,0))+IF(OR(TYPE(U94)&gt;1,TYPE(MATCH(U94,O$11:O$139,0))&gt;1),0,MATCH(U94,O$11:O$139,0))+IF(OR(TYPE(U94)&gt;1,TYPE(MATCH(U94,U95:U$139,0))&gt;1),0,MATCH(U94,U95:U$139,0))+IF(OR(TYPE(U94)&gt;1,TYPE(MATCH(U94,AA$11:AA$139,0))&gt;1),0,MATCH(U94,AA$11:AA$139,0))</f>
        <v>0</v>
      </c>
      <c r="AQ94" s="334">
        <f>IF(OR(TYPE(AA94)&gt;1,TYPE(MATCH(AA94,I$11:I$139,0))&gt;1),0,MATCH(AA94,I$11:I$139,0))+IF(OR(TYPE(AA94)&gt;1,TYPE(MATCH(AA94,O$11:O$139,0))&gt;1),0,MATCH(AA94,O$11:O$139,0))+IF(OR(TYPE(AA94)&gt;1,TYPE(MATCH(AA94,U$11:U$139,0))&gt;1),0,MATCH(U94,U$11:U$139,0))+IF(OR(TYPE(AA94)&gt;1,TYPE(MATCH(AA94,AA95:AA$139,0))&gt;1),0,MATCH(AA94,AA95:AA$139,0))</f>
        <v>0</v>
      </c>
      <c r="AR94" s="334">
        <f t="shared" si="37"/>
        <v>0</v>
      </c>
      <c r="AT94" s="333">
        <f t="shared" si="38"/>
        <v>0</v>
      </c>
      <c r="AU94" s="333">
        <f>IF(AND(N(I94)&gt;0,TYPE(VLOOKUP(I94,Hraci!$A$5:$A$800,1,0))&gt;3),1,0) + IF(AND(N(O94)&gt;0,TYPE(VLOOKUP(O94,Hraci!$A$5:$A$800,1,0))&gt;3),1,0) + IF(AND(N(U94)&gt;0,TYPE(VLOOKUP(U94,Hraci!$A$5:$A$800,1,0))&gt;3),1,0)</f>
        <v>0</v>
      </c>
      <c r="BF94" s="334">
        <f t="shared" si="39"/>
        <v>84</v>
      </c>
    </row>
    <row r="95" spans="1:58" ht="14.25" x14ac:dyDescent="0.3">
      <c r="A95" s="358">
        <f t="shared" si="27"/>
        <v>0</v>
      </c>
      <c r="B95" s="358">
        <f t="shared" si="28"/>
        <v>0</v>
      </c>
      <c r="C95" s="358">
        <f t="shared" si="29"/>
        <v>0</v>
      </c>
      <c r="D95" s="358">
        <f t="shared" si="30"/>
        <v>99999</v>
      </c>
      <c r="E95" s="358">
        <f t="shared" si="31"/>
        <v>9999</v>
      </c>
      <c r="F95" s="359" t="str">
        <f t="shared" ca="1" si="32"/>
        <v>90000000900000990000244930</v>
      </c>
      <c r="G95" s="398" t="b">
        <f t="shared" si="33"/>
        <v>1</v>
      </c>
      <c r="H95" s="399">
        <f t="shared" si="34"/>
        <v>85</v>
      </c>
      <c r="I95" s="400" t="s">
        <v>2005</v>
      </c>
      <c r="J95" s="401" t="s">
        <v>1054</v>
      </c>
      <c r="K95" s="402" t="s">
        <v>1054</v>
      </c>
      <c r="L95" s="402" t="s">
        <v>1054</v>
      </c>
      <c r="M95" s="403">
        <v>9999</v>
      </c>
      <c r="N95" s="404">
        <v>0</v>
      </c>
      <c r="O95" s="400" t="s">
        <v>2005</v>
      </c>
      <c r="P95" s="401" t="s">
        <v>1054</v>
      </c>
      <c r="Q95" s="402" t="s">
        <v>1054</v>
      </c>
      <c r="R95" s="402" t="s">
        <v>1054</v>
      </c>
      <c r="S95" s="403">
        <v>9999</v>
      </c>
      <c r="T95" s="404">
        <v>0</v>
      </c>
      <c r="U95" s="400" t="s">
        <v>2005</v>
      </c>
      <c r="V95" s="401" t="s">
        <v>1054</v>
      </c>
      <c r="W95" s="402" t="s">
        <v>1054</v>
      </c>
      <c r="X95" s="402" t="s">
        <v>1054</v>
      </c>
      <c r="Y95" s="403">
        <v>9999</v>
      </c>
      <c r="Z95" s="404">
        <v>0</v>
      </c>
      <c r="AA95" s="400" t="s">
        <v>2005</v>
      </c>
      <c r="AB95" s="401" t="s">
        <v>1054</v>
      </c>
      <c r="AC95" s="402" t="s">
        <v>1054</v>
      </c>
      <c r="AD95" s="402" t="s">
        <v>1054</v>
      </c>
      <c r="AE95" s="403">
        <v>9999</v>
      </c>
      <c r="AF95" s="404">
        <v>0</v>
      </c>
      <c r="AG95" s="409"/>
      <c r="AH95" s="445">
        <f>IF(TYPE(VLOOKUP(H95,Centrum!$A$3:$E$130,5,0))&lt;4,VLOOKUP(H95,Centrum!$A$3:$E$130,5,0),0)</f>
        <v>0</v>
      </c>
      <c r="AI95" s="405" t="str">
        <f>IF(N($AH95)&gt;0,VLOOKUP($AH95,Body!$A$4:$F$259,5,0),"")</f>
        <v/>
      </c>
      <c r="AJ95" s="406" t="str">
        <f>IF(N($AH95)&gt;0,VLOOKUP($AH95,Body!$A$4:$F$259,6,0),"")</f>
        <v/>
      </c>
      <c r="AK95" s="405" t="str">
        <f>IF(N($AH95)&gt;0,VLOOKUP($AH95,Body!$A$4:$F$259,2,0),"")</f>
        <v/>
      </c>
      <c r="AL95" s="407" t="str">
        <f t="shared" si="35"/>
        <v/>
      </c>
      <c r="AM95" s="408">
        <f t="shared" si="36"/>
        <v>0</v>
      </c>
      <c r="AN95" s="334">
        <f>IF(OR(TYPE(I95)&gt;1,TYPE(MATCH(I95,I96:I$139,0))&gt;1),0,MATCH(I95,I96:I$139,0))+IF(OR(TYPE(I95)&gt;1,TYPE(MATCH(I95,O$11:O$139,0))&gt;1),0,MATCH(I95,O$11:O$139,0))+IF(OR(TYPE(I95)&gt;1,TYPE(MATCH(I95,U$11:U$139,0))&gt;1),0,MATCH(I95,U$11:U$139,0))+IF(OR(TYPE(I95)&gt;1,TYPE(MATCH(I95,AA$11:AA$139,0))&gt;1),0,MATCH(I95,AA$11:AA$139,0))</f>
        <v>0</v>
      </c>
      <c r="AO95" s="334">
        <f>IF(OR(TYPE(O95)&gt;1,TYPE(MATCH(O95,I$11:I$139,0))&gt;1),0,MATCH(O95,I$11:I$139,0))+IF(OR(TYPE(O95)&gt;1,TYPE(MATCH(O95,O96:O$139,0))&gt;1),0,MATCH(O95,O96:O$139,0))+IF(OR(TYPE(O95)&gt;1,TYPE(MATCH(O95,U$11:U$139,0))&gt;1),0,MATCH(O95,U$11:U$139,0))+IF(OR(TYPE(O95)&gt;1,TYPE(MATCH(O95,AA$11:AA$139,0))&gt;1),0,MATCH(O95,AA$11:AA$139,0))</f>
        <v>0</v>
      </c>
      <c r="AP95" s="334">
        <f>IF(OR(TYPE(U95)&gt;1,TYPE(MATCH(U95,I$11:I$139,0))&gt;1),0,MATCH(U95,I$11:I$139,0))+IF(OR(TYPE(U95)&gt;1,TYPE(MATCH(U95,O$11:O$139,0))&gt;1),0,MATCH(U95,O$11:O$139,0))+IF(OR(TYPE(U95)&gt;1,TYPE(MATCH(U95,U96:U$139,0))&gt;1),0,MATCH(U95,U96:U$139,0))+IF(OR(TYPE(U95)&gt;1,TYPE(MATCH(U95,AA$11:AA$139,0))&gt;1),0,MATCH(U95,AA$11:AA$139,0))</f>
        <v>0</v>
      </c>
      <c r="AQ95" s="334">
        <f>IF(OR(TYPE(AA95)&gt;1,TYPE(MATCH(AA95,I$11:I$139,0))&gt;1),0,MATCH(AA95,I$11:I$139,0))+IF(OR(TYPE(AA95)&gt;1,TYPE(MATCH(AA95,O$11:O$139,0))&gt;1),0,MATCH(AA95,O$11:O$139,0))+IF(OR(TYPE(AA95)&gt;1,TYPE(MATCH(AA95,U$11:U$139,0))&gt;1),0,MATCH(U95,U$11:U$139,0))+IF(OR(TYPE(AA95)&gt;1,TYPE(MATCH(AA95,AA96:AA$139,0))&gt;1),0,MATCH(AA95,AA96:AA$139,0))</f>
        <v>0</v>
      </c>
      <c r="AR95" s="334">
        <f t="shared" si="37"/>
        <v>0</v>
      </c>
      <c r="AT95" s="333">
        <f t="shared" si="38"/>
        <v>0</v>
      </c>
      <c r="AU95" s="333">
        <f>IF(AND(N(I95)&gt;0,TYPE(VLOOKUP(I95,Hraci!$A$5:$A$800,1,0))&gt;3),1,0) + IF(AND(N(O95)&gt;0,TYPE(VLOOKUP(O95,Hraci!$A$5:$A$800,1,0))&gt;3),1,0) + IF(AND(N(U95)&gt;0,TYPE(VLOOKUP(U95,Hraci!$A$5:$A$800,1,0))&gt;3),1,0)</f>
        <v>0</v>
      </c>
      <c r="BF95" s="334">
        <f t="shared" si="39"/>
        <v>85</v>
      </c>
    </row>
    <row r="96" spans="1:58" ht="14.25" x14ac:dyDescent="0.3">
      <c r="A96" s="358">
        <f t="shared" si="27"/>
        <v>0</v>
      </c>
      <c r="B96" s="358">
        <f t="shared" si="28"/>
        <v>0</v>
      </c>
      <c r="C96" s="358">
        <f t="shared" si="29"/>
        <v>0</v>
      </c>
      <c r="D96" s="358">
        <f t="shared" si="30"/>
        <v>99999</v>
      </c>
      <c r="E96" s="317">
        <f t="shared" si="31"/>
        <v>9999</v>
      </c>
      <c r="F96" s="359" t="str">
        <f t="shared" ca="1" si="32"/>
        <v>90000000900000990000112579</v>
      </c>
      <c r="G96" s="398" t="b">
        <f t="shared" si="33"/>
        <v>1</v>
      </c>
      <c r="H96" s="399">
        <f t="shared" si="34"/>
        <v>86</v>
      </c>
      <c r="I96" s="400" t="s">
        <v>2005</v>
      </c>
      <c r="J96" s="401" t="s">
        <v>1054</v>
      </c>
      <c r="K96" s="402" t="s">
        <v>1054</v>
      </c>
      <c r="L96" s="402" t="s">
        <v>1054</v>
      </c>
      <c r="M96" s="403">
        <v>9999</v>
      </c>
      <c r="N96" s="404">
        <v>0</v>
      </c>
      <c r="O96" s="400" t="s">
        <v>2005</v>
      </c>
      <c r="P96" s="401" t="s">
        <v>1054</v>
      </c>
      <c r="Q96" s="402" t="s">
        <v>1054</v>
      </c>
      <c r="R96" s="402" t="s">
        <v>1054</v>
      </c>
      <c r="S96" s="403">
        <v>9999</v>
      </c>
      <c r="T96" s="404">
        <v>0</v>
      </c>
      <c r="U96" s="400" t="s">
        <v>2005</v>
      </c>
      <c r="V96" s="401" t="s">
        <v>1054</v>
      </c>
      <c r="W96" s="402" t="s">
        <v>1054</v>
      </c>
      <c r="X96" s="402" t="s">
        <v>1054</v>
      </c>
      <c r="Y96" s="403">
        <v>9999</v>
      </c>
      <c r="Z96" s="404">
        <v>0</v>
      </c>
      <c r="AA96" s="400" t="s">
        <v>2005</v>
      </c>
      <c r="AB96" s="401" t="s">
        <v>1054</v>
      </c>
      <c r="AC96" s="402" t="s">
        <v>1054</v>
      </c>
      <c r="AD96" s="402" t="s">
        <v>1054</v>
      </c>
      <c r="AE96" s="403">
        <v>9999</v>
      </c>
      <c r="AF96" s="404">
        <v>0</v>
      </c>
      <c r="AG96" s="409"/>
      <c r="AH96" s="445">
        <f>IF(TYPE(VLOOKUP(H96,Centrum!$A$3:$E$130,5,0))&lt;4,VLOOKUP(H96,Centrum!$A$3:$E$130,5,0),0)</f>
        <v>0</v>
      </c>
      <c r="AI96" s="405" t="str">
        <f>IF(N($AH96)&gt;0,VLOOKUP($AH96,Body!$A$4:$F$259,5,0),"")</f>
        <v/>
      </c>
      <c r="AJ96" s="406" t="str">
        <f>IF(N($AH96)&gt;0,VLOOKUP($AH96,Body!$A$4:$F$259,6,0),"")</f>
        <v/>
      </c>
      <c r="AK96" s="405" t="str">
        <f>IF(N($AH96)&gt;0,VLOOKUP($AH96,Body!$A$4:$F$259,2,0),"")</f>
        <v/>
      </c>
      <c r="AL96" s="407" t="str">
        <f t="shared" si="35"/>
        <v/>
      </c>
      <c r="AM96" s="408">
        <f t="shared" si="36"/>
        <v>0</v>
      </c>
      <c r="AN96" s="334">
        <f>IF(OR(TYPE(I96)&gt;1,TYPE(MATCH(I96,I97:I$139,0))&gt;1),0,MATCH(I96,I97:I$139,0))+IF(OR(TYPE(I96)&gt;1,TYPE(MATCH(I96,O$11:O$139,0))&gt;1),0,MATCH(I96,O$11:O$139,0))+IF(OR(TYPE(I96)&gt;1,TYPE(MATCH(I96,U$11:U$139,0))&gt;1),0,MATCH(I96,U$11:U$139,0))+IF(OR(TYPE(I96)&gt;1,TYPE(MATCH(I96,AA$11:AA$139,0))&gt;1),0,MATCH(I96,AA$11:AA$139,0))</f>
        <v>0</v>
      </c>
      <c r="AO96" s="334">
        <f>IF(OR(TYPE(O96)&gt;1,TYPE(MATCH(O96,I$11:I$139,0))&gt;1),0,MATCH(O96,I$11:I$139,0))+IF(OR(TYPE(O96)&gt;1,TYPE(MATCH(O96,O97:O$139,0))&gt;1),0,MATCH(O96,O97:O$139,0))+IF(OR(TYPE(O96)&gt;1,TYPE(MATCH(O96,U$11:U$139,0))&gt;1),0,MATCH(O96,U$11:U$139,0))+IF(OR(TYPE(O96)&gt;1,TYPE(MATCH(O96,AA$11:AA$139,0))&gt;1),0,MATCH(O96,AA$11:AA$139,0))</f>
        <v>0</v>
      </c>
      <c r="AP96" s="334">
        <f>IF(OR(TYPE(U96)&gt;1,TYPE(MATCH(U96,I$11:I$139,0))&gt;1),0,MATCH(U96,I$11:I$139,0))+IF(OR(TYPE(U96)&gt;1,TYPE(MATCH(U96,O$11:O$139,0))&gt;1),0,MATCH(U96,O$11:O$139,0))+IF(OR(TYPE(U96)&gt;1,TYPE(MATCH(U96,U97:U$139,0))&gt;1),0,MATCH(U96,U97:U$139,0))+IF(OR(TYPE(U96)&gt;1,TYPE(MATCH(U96,AA$11:AA$139,0))&gt;1),0,MATCH(U96,AA$11:AA$139,0))</f>
        <v>0</v>
      </c>
      <c r="AQ96" s="334">
        <f>IF(OR(TYPE(AA96)&gt;1,TYPE(MATCH(AA96,I$11:I$139,0))&gt;1),0,MATCH(AA96,I$11:I$139,0))+IF(OR(TYPE(AA96)&gt;1,TYPE(MATCH(AA96,O$11:O$139,0))&gt;1),0,MATCH(AA96,O$11:O$139,0))+IF(OR(TYPE(AA96)&gt;1,TYPE(MATCH(AA96,U$11:U$139,0))&gt;1),0,MATCH(U96,U$11:U$139,0))+IF(OR(TYPE(AA96)&gt;1,TYPE(MATCH(AA96,AA97:AA$139,0))&gt;1),0,MATCH(AA96,AA97:AA$139,0))</f>
        <v>0</v>
      </c>
      <c r="AR96" s="334">
        <f t="shared" si="37"/>
        <v>0</v>
      </c>
      <c r="AT96" s="333">
        <f t="shared" si="38"/>
        <v>0</v>
      </c>
      <c r="AU96" s="333">
        <f>IF(AND(N(I96)&gt;0,TYPE(VLOOKUP(I96,Hraci!$A$5:$A$800,1,0))&gt;3),1,0) + IF(AND(N(O96)&gt;0,TYPE(VLOOKUP(O96,Hraci!$A$5:$A$800,1,0))&gt;3),1,0) + IF(AND(N(U96)&gt;0,TYPE(VLOOKUP(U96,Hraci!$A$5:$A$800,1,0))&gt;3),1,0)</f>
        <v>0</v>
      </c>
      <c r="BF96" s="334">
        <f t="shared" si="39"/>
        <v>86</v>
      </c>
    </row>
    <row r="97" spans="1:58" ht="14.25" x14ac:dyDescent="0.3">
      <c r="A97" s="358">
        <f t="shared" si="27"/>
        <v>0</v>
      </c>
      <c r="B97" s="358">
        <f t="shared" si="28"/>
        <v>0</v>
      </c>
      <c r="C97" s="358">
        <f t="shared" si="29"/>
        <v>0</v>
      </c>
      <c r="D97" s="358">
        <f t="shared" si="30"/>
        <v>99999</v>
      </c>
      <c r="E97" s="358">
        <f t="shared" si="31"/>
        <v>9999</v>
      </c>
      <c r="F97" s="359" t="str">
        <f t="shared" ca="1" si="32"/>
        <v>90000000900000990000671347</v>
      </c>
      <c r="G97" s="398" t="b">
        <f t="shared" si="33"/>
        <v>1</v>
      </c>
      <c r="H97" s="399">
        <f t="shared" si="34"/>
        <v>87</v>
      </c>
      <c r="I97" s="400" t="s">
        <v>2005</v>
      </c>
      <c r="J97" s="401" t="s">
        <v>1054</v>
      </c>
      <c r="K97" s="402" t="s">
        <v>1054</v>
      </c>
      <c r="L97" s="402" t="s">
        <v>1054</v>
      </c>
      <c r="M97" s="403">
        <v>9999</v>
      </c>
      <c r="N97" s="404">
        <v>0</v>
      </c>
      <c r="O97" s="400" t="s">
        <v>2005</v>
      </c>
      <c r="P97" s="401" t="s">
        <v>1054</v>
      </c>
      <c r="Q97" s="402" t="s">
        <v>1054</v>
      </c>
      <c r="R97" s="402" t="s">
        <v>1054</v>
      </c>
      <c r="S97" s="403">
        <v>9999</v>
      </c>
      <c r="T97" s="404">
        <v>0</v>
      </c>
      <c r="U97" s="400" t="s">
        <v>2005</v>
      </c>
      <c r="V97" s="401" t="s">
        <v>1054</v>
      </c>
      <c r="W97" s="402" t="s">
        <v>1054</v>
      </c>
      <c r="X97" s="402" t="s">
        <v>1054</v>
      </c>
      <c r="Y97" s="403">
        <v>9999</v>
      </c>
      <c r="Z97" s="404">
        <v>0</v>
      </c>
      <c r="AA97" s="400" t="s">
        <v>2005</v>
      </c>
      <c r="AB97" s="401" t="s">
        <v>1054</v>
      </c>
      <c r="AC97" s="402" t="s">
        <v>1054</v>
      </c>
      <c r="AD97" s="402" t="s">
        <v>1054</v>
      </c>
      <c r="AE97" s="403">
        <v>9999</v>
      </c>
      <c r="AF97" s="404">
        <v>0</v>
      </c>
      <c r="AG97" s="409"/>
      <c r="AH97" s="445">
        <f>IF(TYPE(VLOOKUP(H97,Centrum!$A$3:$E$130,5,0))&lt;4,VLOOKUP(H97,Centrum!$A$3:$E$130,5,0),0)</f>
        <v>0</v>
      </c>
      <c r="AI97" s="405" t="str">
        <f>IF(N($AH97)&gt;0,VLOOKUP($AH97,Body!$A$4:$F$259,5,0),"")</f>
        <v/>
      </c>
      <c r="AJ97" s="406" t="str">
        <f>IF(N($AH97)&gt;0,VLOOKUP($AH97,Body!$A$4:$F$259,6,0),"")</f>
        <v/>
      </c>
      <c r="AK97" s="405" t="str">
        <f>IF(N($AH97)&gt;0,VLOOKUP($AH97,Body!$A$4:$F$259,2,0),"")</f>
        <v/>
      </c>
      <c r="AL97" s="407" t="str">
        <f t="shared" si="35"/>
        <v/>
      </c>
      <c r="AM97" s="408">
        <f t="shared" si="36"/>
        <v>0</v>
      </c>
      <c r="AN97" s="334">
        <f>IF(OR(TYPE(I97)&gt;1,TYPE(MATCH(I97,I98:I$139,0))&gt;1),0,MATCH(I97,I98:I$139,0))+IF(OR(TYPE(I97)&gt;1,TYPE(MATCH(I97,O$11:O$139,0))&gt;1),0,MATCH(I97,O$11:O$139,0))+IF(OR(TYPE(I97)&gt;1,TYPE(MATCH(I97,U$11:U$139,0))&gt;1),0,MATCH(I97,U$11:U$139,0))+IF(OR(TYPE(I97)&gt;1,TYPE(MATCH(I97,AA$11:AA$139,0))&gt;1),0,MATCH(I97,AA$11:AA$139,0))</f>
        <v>0</v>
      </c>
      <c r="AO97" s="334">
        <f>IF(OR(TYPE(O97)&gt;1,TYPE(MATCH(O97,I$11:I$139,0))&gt;1),0,MATCH(O97,I$11:I$139,0))+IF(OR(TYPE(O97)&gt;1,TYPE(MATCH(O97,O98:O$139,0))&gt;1),0,MATCH(O97,O98:O$139,0))+IF(OR(TYPE(O97)&gt;1,TYPE(MATCH(O97,U$11:U$139,0))&gt;1),0,MATCH(O97,U$11:U$139,0))+IF(OR(TYPE(O97)&gt;1,TYPE(MATCH(O97,AA$11:AA$139,0))&gt;1),0,MATCH(O97,AA$11:AA$139,0))</f>
        <v>0</v>
      </c>
      <c r="AP97" s="334">
        <f>IF(OR(TYPE(U97)&gt;1,TYPE(MATCH(U97,I$11:I$139,0))&gt;1),0,MATCH(U97,I$11:I$139,0))+IF(OR(TYPE(U97)&gt;1,TYPE(MATCH(U97,O$11:O$139,0))&gt;1),0,MATCH(U97,O$11:O$139,0))+IF(OR(TYPE(U97)&gt;1,TYPE(MATCH(U97,U98:U$139,0))&gt;1),0,MATCH(U97,U98:U$139,0))+IF(OR(TYPE(U97)&gt;1,TYPE(MATCH(U97,AA$11:AA$139,0))&gt;1),0,MATCH(U97,AA$11:AA$139,0))</f>
        <v>0</v>
      </c>
      <c r="AQ97" s="334">
        <f>IF(OR(TYPE(AA97)&gt;1,TYPE(MATCH(AA97,I$11:I$139,0))&gt;1),0,MATCH(AA97,I$11:I$139,0))+IF(OR(TYPE(AA97)&gt;1,TYPE(MATCH(AA97,O$11:O$139,0))&gt;1),0,MATCH(AA97,O$11:O$139,0))+IF(OR(TYPE(AA97)&gt;1,TYPE(MATCH(AA97,U$11:U$139,0))&gt;1),0,MATCH(U97,U$11:U$139,0))+IF(OR(TYPE(AA97)&gt;1,TYPE(MATCH(AA97,AA98:AA$139,0))&gt;1),0,MATCH(AA97,AA98:AA$139,0))</f>
        <v>0</v>
      </c>
      <c r="AR97" s="334">
        <f t="shared" si="37"/>
        <v>0</v>
      </c>
      <c r="AT97" s="333">
        <f t="shared" si="38"/>
        <v>0</v>
      </c>
      <c r="AU97" s="333">
        <f>IF(AND(N(I97)&gt;0,TYPE(VLOOKUP(I97,Hraci!$A$5:$A$800,1,0))&gt;3),1,0) + IF(AND(N(O97)&gt;0,TYPE(VLOOKUP(O97,Hraci!$A$5:$A$800,1,0))&gt;3),1,0) + IF(AND(N(U97)&gt;0,TYPE(VLOOKUP(U97,Hraci!$A$5:$A$800,1,0))&gt;3),1,0)</f>
        <v>0</v>
      </c>
      <c r="BF97" s="334">
        <f t="shared" si="39"/>
        <v>87</v>
      </c>
    </row>
    <row r="98" spans="1:58" ht="14.25" x14ac:dyDescent="0.3">
      <c r="A98" s="358">
        <f t="shared" si="27"/>
        <v>0</v>
      </c>
      <c r="B98" s="358">
        <f t="shared" si="28"/>
        <v>0</v>
      </c>
      <c r="C98" s="358">
        <f t="shared" si="29"/>
        <v>0</v>
      </c>
      <c r="D98" s="358">
        <f t="shared" si="30"/>
        <v>99999</v>
      </c>
      <c r="E98" s="358">
        <f t="shared" si="31"/>
        <v>9999</v>
      </c>
      <c r="F98" s="359" t="str">
        <f t="shared" ca="1" si="32"/>
        <v>90000000900000990000675480</v>
      </c>
      <c r="G98" s="398" t="b">
        <f t="shared" si="33"/>
        <v>1</v>
      </c>
      <c r="H98" s="399">
        <f t="shared" si="34"/>
        <v>88</v>
      </c>
      <c r="I98" s="400" t="s">
        <v>2005</v>
      </c>
      <c r="J98" s="401" t="s">
        <v>1054</v>
      </c>
      <c r="K98" s="402" t="s">
        <v>1054</v>
      </c>
      <c r="L98" s="402" t="s">
        <v>1054</v>
      </c>
      <c r="M98" s="403">
        <v>9999</v>
      </c>
      <c r="N98" s="404">
        <v>0</v>
      </c>
      <c r="O98" s="400" t="s">
        <v>2005</v>
      </c>
      <c r="P98" s="401" t="s">
        <v>1054</v>
      </c>
      <c r="Q98" s="402" t="s">
        <v>1054</v>
      </c>
      <c r="R98" s="402" t="s">
        <v>1054</v>
      </c>
      <c r="S98" s="403">
        <v>9999</v>
      </c>
      <c r="T98" s="404">
        <v>0</v>
      </c>
      <c r="U98" s="400" t="s">
        <v>2005</v>
      </c>
      <c r="V98" s="401" t="s">
        <v>1054</v>
      </c>
      <c r="W98" s="402" t="s">
        <v>1054</v>
      </c>
      <c r="X98" s="402" t="s">
        <v>1054</v>
      </c>
      <c r="Y98" s="403">
        <v>9999</v>
      </c>
      <c r="Z98" s="404">
        <v>0</v>
      </c>
      <c r="AA98" s="400" t="s">
        <v>2005</v>
      </c>
      <c r="AB98" s="401" t="s">
        <v>1054</v>
      </c>
      <c r="AC98" s="402" t="s">
        <v>1054</v>
      </c>
      <c r="AD98" s="402" t="s">
        <v>1054</v>
      </c>
      <c r="AE98" s="403">
        <v>9999</v>
      </c>
      <c r="AF98" s="404">
        <v>0</v>
      </c>
      <c r="AG98" s="409"/>
      <c r="AH98" s="445">
        <f>IF(TYPE(VLOOKUP(H98,Centrum!$A$3:$E$130,5,0))&lt;4,VLOOKUP(H98,Centrum!$A$3:$E$130,5,0),0)</f>
        <v>0</v>
      </c>
      <c r="AI98" s="405" t="str">
        <f>IF(N($AH98)&gt;0,VLOOKUP($AH98,Body!$A$4:$F$259,5,0),"")</f>
        <v/>
      </c>
      <c r="AJ98" s="406" t="str">
        <f>IF(N($AH98)&gt;0,VLOOKUP($AH98,Body!$A$4:$F$259,6,0),"")</f>
        <v/>
      </c>
      <c r="AK98" s="405" t="str">
        <f>IF(N($AH98)&gt;0,VLOOKUP($AH98,Body!$A$4:$F$259,2,0),"")</f>
        <v/>
      </c>
      <c r="AL98" s="407" t="str">
        <f t="shared" si="35"/>
        <v/>
      </c>
      <c r="AM98" s="408">
        <f t="shared" si="36"/>
        <v>0</v>
      </c>
      <c r="AN98" s="334">
        <f>IF(OR(TYPE(I98)&gt;1,TYPE(MATCH(I98,I99:I$139,0))&gt;1),0,MATCH(I98,I99:I$139,0))+IF(OR(TYPE(I98)&gt;1,TYPE(MATCH(I98,O$11:O$139,0))&gt;1),0,MATCH(I98,O$11:O$139,0))+IF(OR(TYPE(I98)&gt;1,TYPE(MATCH(I98,U$11:U$139,0))&gt;1),0,MATCH(I98,U$11:U$139,0))+IF(OR(TYPE(I98)&gt;1,TYPE(MATCH(I98,AA$11:AA$139,0))&gt;1),0,MATCH(I98,AA$11:AA$139,0))</f>
        <v>0</v>
      </c>
      <c r="AO98" s="334">
        <f>IF(OR(TYPE(O98)&gt;1,TYPE(MATCH(O98,I$11:I$139,0))&gt;1),0,MATCH(O98,I$11:I$139,0))+IF(OR(TYPE(O98)&gt;1,TYPE(MATCH(O98,O99:O$139,0))&gt;1),0,MATCH(O98,O99:O$139,0))+IF(OR(TYPE(O98)&gt;1,TYPE(MATCH(O98,U$11:U$139,0))&gt;1),0,MATCH(O98,U$11:U$139,0))+IF(OR(TYPE(O98)&gt;1,TYPE(MATCH(O98,AA$11:AA$139,0))&gt;1),0,MATCH(O98,AA$11:AA$139,0))</f>
        <v>0</v>
      </c>
      <c r="AP98" s="334">
        <f>IF(OR(TYPE(U98)&gt;1,TYPE(MATCH(U98,I$11:I$139,0))&gt;1),0,MATCH(U98,I$11:I$139,0))+IF(OR(TYPE(U98)&gt;1,TYPE(MATCH(U98,O$11:O$139,0))&gt;1),0,MATCH(U98,O$11:O$139,0))+IF(OR(TYPE(U98)&gt;1,TYPE(MATCH(U98,U99:U$139,0))&gt;1),0,MATCH(U98,U99:U$139,0))+IF(OR(TYPE(U98)&gt;1,TYPE(MATCH(U98,AA$11:AA$139,0))&gt;1),0,MATCH(U98,AA$11:AA$139,0))</f>
        <v>0</v>
      </c>
      <c r="AQ98" s="334">
        <f>IF(OR(TYPE(AA98)&gt;1,TYPE(MATCH(AA98,I$11:I$139,0))&gt;1),0,MATCH(AA98,I$11:I$139,0))+IF(OR(TYPE(AA98)&gt;1,TYPE(MATCH(AA98,O$11:O$139,0))&gt;1),0,MATCH(AA98,O$11:O$139,0))+IF(OR(TYPE(AA98)&gt;1,TYPE(MATCH(AA98,U$11:U$139,0))&gt;1),0,MATCH(U98,U$11:U$139,0))+IF(OR(TYPE(AA98)&gt;1,TYPE(MATCH(AA98,AA99:AA$139,0))&gt;1),0,MATCH(AA98,AA99:AA$139,0))</f>
        <v>0</v>
      </c>
      <c r="AR98" s="334">
        <f t="shared" si="37"/>
        <v>0</v>
      </c>
      <c r="AT98" s="333">
        <f t="shared" si="38"/>
        <v>0</v>
      </c>
      <c r="AU98" s="333">
        <f>IF(AND(N(I98)&gt;0,TYPE(VLOOKUP(I98,Hraci!$A$5:$A$800,1,0))&gt;3),1,0) + IF(AND(N(O98)&gt;0,TYPE(VLOOKUP(O98,Hraci!$A$5:$A$800,1,0))&gt;3),1,0) + IF(AND(N(U98)&gt;0,TYPE(VLOOKUP(U98,Hraci!$A$5:$A$800,1,0))&gt;3),1,0)</f>
        <v>0</v>
      </c>
      <c r="BF98" s="334">
        <f t="shared" si="39"/>
        <v>88</v>
      </c>
    </row>
    <row r="99" spans="1:58" ht="14.25" x14ac:dyDescent="0.3">
      <c r="A99" s="358">
        <f t="shared" si="27"/>
        <v>0</v>
      </c>
      <c r="B99" s="358">
        <f t="shared" si="28"/>
        <v>0</v>
      </c>
      <c r="C99" s="358">
        <f t="shared" si="29"/>
        <v>0</v>
      </c>
      <c r="D99" s="358">
        <f t="shared" si="30"/>
        <v>99999</v>
      </c>
      <c r="E99" s="358">
        <f t="shared" si="31"/>
        <v>9999</v>
      </c>
      <c r="F99" s="359" t="str">
        <f t="shared" ca="1" si="32"/>
        <v>90000000900000990000366216</v>
      </c>
      <c r="G99" s="398" t="b">
        <f t="shared" si="33"/>
        <v>1</v>
      </c>
      <c r="H99" s="399">
        <f t="shared" si="34"/>
        <v>89</v>
      </c>
      <c r="I99" s="400" t="s">
        <v>2005</v>
      </c>
      <c r="J99" s="401" t="s">
        <v>1054</v>
      </c>
      <c r="K99" s="402" t="s">
        <v>1054</v>
      </c>
      <c r="L99" s="402" t="s">
        <v>1054</v>
      </c>
      <c r="M99" s="403">
        <v>9999</v>
      </c>
      <c r="N99" s="404">
        <v>0</v>
      </c>
      <c r="O99" s="400" t="s">
        <v>2005</v>
      </c>
      <c r="P99" s="401" t="s">
        <v>1054</v>
      </c>
      <c r="Q99" s="402" t="s">
        <v>1054</v>
      </c>
      <c r="R99" s="402" t="s">
        <v>1054</v>
      </c>
      <c r="S99" s="403">
        <v>9999</v>
      </c>
      <c r="T99" s="404">
        <v>0</v>
      </c>
      <c r="U99" s="400" t="s">
        <v>2005</v>
      </c>
      <c r="V99" s="401" t="s">
        <v>1054</v>
      </c>
      <c r="W99" s="402" t="s">
        <v>1054</v>
      </c>
      <c r="X99" s="402" t="s">
        <v>1054</v>
      </c>
      <c r="Y99" s="403">
        <v>9999</v>
      </c>
      <c r="Z99" s="404">
        <v>0</v>
      </c>
      <c r="AA99" s="400" t="s">
        <v>2005</v>
      </c>
      <c r="AB99" s="401" t="s">
        <v>1054</v>
      </c>
      <c r="AC99" s="402" t="s">
        <v>1054</v>
      </c>
      <c r="AD99" s="402" t="s">
        <v>1054</v>
      </c>
      <c r="AE99" s="403">
        <v>9999</v>
      </c>
      <c r="AF99" s="404">
        <v>0</v>
      </c>
      <c r="AG99" s="409"/>
      <c r="AH99" s="445">
        <f>IF(TYPE(VLOOKUP(H99,Centrum!$A$3:$E$130,5,0))&lt;4,VLOOKUP(H99,Centrum!$A$3:$E$130,5,0),0)</f>
        <v>0</v>
      </c>
      <c r="AI99" s="405" t="str">
        <f>IF(N($AH99)&gt;0,VLOOKUP($AH99,Body!$A$4:$F$259,5,0),"")</f>
        <v/>
      </c>
      <c r="AJ99" s="406" t="str">
        <f>IF(N($AH99)&gt;0,VLOOKUP($AH99,Body!$A$4:$F$259,6,0),"")</f>
        <v/>
      </c>
      <c r="AK99" s="405" t="str">
        <f>IF(N($AH99)&gt;0,VLOOKUP($AH99,Body!$A$4:$F$259,2,0),"")</f>
        <v/>
      </c>
      <c r="AL99" s="407" t="str">
        <f t="shared" si="35"/>
        <v/>
      </c>
      <c r="AM99" s="408">
        <f t="shared" si="36"/>
        <v>0</v>
      </c>
      <c r="AN99" s="334">
        <f>IF(OR(TYPE(I99)&gt;1,TYPE(MATCH(I99,I100:I$139,0))&gt;1),0,MATCH(I99,I100:I$139,0))+IF(OR(TYPE(I99)&gt;1,TYPE(MATCH(I99,O$11:O$139,0))&gt;1),0,MATCH(I99,O$11:O$139,0))+IF(OR(TYPE(I99)&gt;1,TYPE(MATCH(I99,U$11:U$139,0))&gt;1),0,MATCH(I99,U$11:U$139,0))+IF(OR(TYPE(I99)&gt;1,TYPE(MATCH(I99,AA$11:AA$139,0))&gt;1),0,MATCH(I99,AA$11:AA$139,0))</f>
        <v>0</v>
      </c>
      <c r="AO99" s="334">
        <f>IF(OR(TYPE(O99)&gt;1,TYPE(MATCH(O99,I$11:I$139,0))&gt;1),0,MATCH(O99,I$11:I$139,0))+IF(OR(TYPE(O99)&gt;1,TYPE(MATCH(O99,O100:O$139,0))&gt;1),0,MATCH(O99,O100:O$139,0))+IF(OR(TYPE(O99)&gt;1,TYPE(MATCH(O99,U$11:U$139,0))&gt;1),0,MATCH(O99,U$11:U$139,0))+IF(OR(TYPE(O99)&gt;1,TYPE(MATCH(O99,AA$11:AA$139,0))&gt;1),0,MATCH(O99,AA$11:AA$139,0))</f>
        <v>0</v>
      </c>
      <c r="AP99" s="334">
        <f>IF(OR(TYPE(U99)&gt;1,TYPE(MATCH(U99,I$11:I$139,0))&gt;1),0,MATCH(U99,I$11:I$139,0))+IF(OR(TYPE(U99)&gt;1,TYPE(MATCH(U99,O$11:O$139,0))&gt;1),0,MATCH(U99,O$11:O$139,0))+IF(OR(TYPE(U99)&gt;1,TYPE(MATCH(U99,U100:U$139,0))&gt;1),0,MATCH(U99,U100:U$139,0))+IF(OR(TYPE(U99)&gt;1,TYPE(MATCH(U99,AA$11:AA$139,0))&gt;1),0,MATCH(U99,AA$11:AA$139,0))</f>
        <v>0</v>
      </c>
      <c r="AQ99" s="334">
        <f>IF(OR(TYPE(AA99)&gt;1,TYPE(MATCH(AA99,I$11:I$139,0))&gt;1),0,MATCH(AA99,I$11:I$139,0))+IF(OR(TYPE(AA99)&gt;1,TYPE(MATCH(AA99,O$11:O$139,0))&gt;1),0,MATCH(AA99,O$11:O$139,0))+IF(OR(TYPE(AA99)&gt;1,TYPE(MATCH(AA99,U$11:U$139,0))&gt;1),0,MATCH(U99,U$11:U$139,0))+IF(OR(TYPE(AA99)&gt;1,TYPE(MATCH(AA99,AA100:AA$139,0))&gt;1),0,MATCH(AA99,AA100:AA$139,0))</f>
        <v>0</v>
      </c>
      <c r="AR99" s="334">
        <f t="shared" si="37"/>
        <v>0</v>
      </c>
      <c r="AT99" s="333">
        <f t="shared" si="38"/>
        <v>0</v>
      </c>
      <c r="AU99" s="333">
        <f>IF(AND(N(I99)&gt;0,TYPE(VLOOKUP(I99,Hraci!$A$5:$A$800,1,0))&gt;3),1,0) + IF(AND(N(O99)&gt;0,TYPE(VLOOKUP(O99,Hraci!$A$5:$A$800,1,0))&gt;3),1,0) + IF(AND(N(U99)&gt;0,TYPE(VLOOKUP(U99,Hraci!$A$5:$A$800,1,0))&gt;3),1,0)</f>
        <v>0</v>
      </c>
      <c r="BF99" s="334">
        <f t="shared" si="39"/>
        <v>89</v>
      </c>
    </row>
    <row r="100" spans="1:58" ht="14.25" x14ac:dyDescent="0.3">
      <c r="A100" s="358">
        <f t="shared" si="27"/>
        <v>0</v>
      </c>
      <c r="B100" s="358">
        <f t="shared" si="28"/>
        <v>0</v>
      </c>
      <c r="C100" s="358">
        <f t="shared" si="29"/>
        <v>0</v>
      </c>
      <c r="D100" s="358">
        <f t="shared" si="30"/>
        <v>99999</v>
      </c>
      <c r="E100" s="358">
        <f t="shared" si="31"/>
        <v>9999</v>
      </c>
      <c r="F100" s="359" t="str">
        <f t="shared" ca="1" si="32"/>
        <v>90000000900000990000325589</v>
      </c>
      <c r="G100" s="398" t="b">
        <f t="shared" si="33"/>
        <v>1</v>
      </c>
      <c r="H100" s="399">
        <f t="shared" si="34"/>
        <v>90</v>
      </c>
      <c r="I100" s="400" t="s">
        <v>2005</v>
      </c>
      <c r="J100" s="401" t="s">
        <v>1054</v>
      </c>
      <c r="K100" s="402" t="s">
        <v>1054</v>
      </c>
      <c r="L100" s="402" t="s">
        <v>1054</v>
      </c>
      <c r="M100" s="403">
        <v>9999</v>
      </c>
      <c r="N100" s="404">
        <v>0</v>
      </c>
      <c r="O100" s="400" t="s">
        <v>2005</v>
      </c>
      <c r="P100" s="401" t="s">
        <v>1054</v>
      </c>
      <c r="Q100" s="402" t="s">
        <v>1054</v>
      </c>
      <c r="R100" s="402" t="s">
        <v>1054</v>
      </c>
      <c r="S100" s="403">
        <v>9999</v>
      </c>
      <c r="T100" s="404">
        <v>0</v>
      </c>
      <c r="U100" s="400" t="s">
        <v>2005</v>
      </c>
      <c r="V100" s="401" t="s">
        <v>1054</v>
      </c>
      <c r="W100" s="402" t="s">
        <v>1054</v>
      </c>
      <c r="X100" s="402" t="s">
        <v>1054</v>
      </c>
      <c r="Y100" s="403">
        <v>9999</v>
      </c>
      <c r="Z100" s="404">
        <v>0</v>
      </c>
      <c r="AA100" s="400" t="s">
        <v>2005</v>
      </c>
      <c r="AB100" s="401" t="s">
        <v>1054</v>
      </c>
      <c r="AC100" s="402" t="s">
        <v>1054</v>
      </c>
      <c r="AD100" s="402" t="s">
        <v>1054</v>
      </c>
      <c r="AE100" s="403">
        <v>9999</v>
      </c>
      <c r="AF100" s="404">
        <v>0</v>
      </c>
      <c r="AG100" s="409"/>
      <c r="AH100" s="445">
        <f>IF(TYPE(VLOOKUP(H100,Centrum!$A$3:$E$130,5,0))&lt;4,VLOOKUP(H100,Centrum!$A$3:$E$130,5,0),0)</f>
        <v>0</v>
      </c>
      <c r="AI100" s="405" t="str">
        <f>IF(N($AH100)&gt;0,VLOOKUP($AH100,Body!$A$4:$F$259,5,0),"")</f>
        <v/>
      </c>
      <c r="AJ100" s="406" t="str">
        <f>IF(N($AH100)&gt;0,VLOOKUP($AH100,Body!$A$4:$F$259,6,0),"")</f>
        <v/>
      </c>
      <c r="AK100" s="405" t="str">
        <f>IF(N($AH100)&gt;0,VLOOKUP($AH100,Body!$A$4:$F$259,2,0),"")</f>
        <v/>
      </c>
      <c r="AL100" s="407" t="str">
        <f t="shared" si="35"/>
        <v/>
      </c>
      <c r="AM100" s="408">
        <f t="shared" si="36"/>
        <v>0</v>
      </c>
      <c r="AN100" s="334">
        <f>IF(OR(TYPE(I100)&gt;1,TYPE(MATCH(I100,I101:I$139,0))&gt;1),0,MATCH(I100,I101:I$139,0))+IF(OR(TYPE(I100)&gt;1,TYPE(MATCH(I100,O$11:O$139,0))&gt;1),0,MATCH(I100,O$11:O$139,0))+IF(OR(TYPE(I100)&gt;1,TYPE(MATCH(I100,U$11:U$139,0))&gt;1),0,MATCH(I100,U$11:U$139,0))+IF(OR(TYPE(I100)&gt;1,TYPE(MATCH(I100,AA$11:AA$139,0))&gt;1),0,MATCH(I100,AA$11:AA$139,0))</f>
        <v>0</v>
      </c>
      <c r="AO100" s="334">
        <f>IF(OR(TYPE(O100)&gt;1,TYPE(MATCH(O100,I$11:I$139,0))&gt;1),0,MATCH(O100,I$11:I$139,0))+IF(OR(TYPE(O100)&gt;1,TYPE(MATCH(O100,O101:O$139,0))&gt;1),0,MATCH(O100,O101:O$139,0))+IF(OR(TYPE(O100)&gt;1,TYPE(MATCH(O100,U$11:U$139,0))&gt;1),0,MATCH(O100,U$11:U$139,0))+IF(OR(TYPE(O100)&gt;1,TYPE(MATCH(O100,AA$11:AA$139,0))&gt;1),0,MATCH(O100,AA$11:AA$139,0))</f>
        <v>0</v>
      </c>
      <c r="AP100" s="334">
        <f>IF(OR(TYPE(U100)&gt;1,TYPE(MATCH(U100,I$11:I$139,0))&gt;1),0,MATCH(U100,I$11:I$139,0))+IF(OR(TYPE(U100)&gt;1,TYPE(MATCH(U100,O$11:O$139,0))&gt;1),0,MATCH(U100,O$11:O$139,0))+IF(OR(TYPE(U100)&gt;1,TYPE(MATCH(U100,U101:U$139,0))&gt;1),0,MATCH(U100,U101:U$139,0))+IF(OR(TYPE(U100)&gt;1,TYPE(MATCH(U100,AA$11:AA$139,0))&gt;1),0,MATCH(U100,AA$11:AA$139,0))</f>
        <v>0</v>
      </c>
      <c r="AQ100" s="334">
        <f>IF(OR(TYPE(AA100)&gt;1,TYPE(MATCH(AA100,I$11:I$139,0))&gt;1),0,MATCH(AA100,I$11:I$139,0))+IF(OR(TYPE(AA100)&gt;1,TYPE(MATCH(AA100,O$11:O$139,0))&gt;1),0,MATCH(AA100,O$11:O$139,0))+IF(OR(TYPE(AA100)&gt;1,TYPE(MATCH(AA100,U$11:U$139,0))&gt;1),0,MATCH(U100,U$11:U$139,0))+IF(OR(TYPE(AA100)&gt;1,TYPE(MATCH(AA100,AA101:AA$139,0))&gt;1),0,MATCH(AA100,AA101:AA$139,0))</f>
        <v>0</v>
      </c>
      <c r="AR100" s="334">
        <f t="shared" si="37"/>
        <v>0</v>
      </c>
      <c r="AT100" s="333">
        <f t="shared" si="38"/>
        <v>0</v>
      </c>
      <c r="AU100" s="333">
        <f>IF(AND(N(I100)&gt;0,TYPE(VLOOKUP(I100,Hraci!$A$5:$A$800,1,0))&gt;3),1,0) + IF(AND(N(O100)&gt;0,TYPE(VLOOKUP(O100,Hraci!$A$5:$A$800,1,0))&gt;3),1,0) + IF(AND(N(U100)&gt;0,TYPE(VLOOKUP(U100,Hraci!$A$5:$A$800,1,0))&gt;3),1,0)</f>
        <v>0</v>
      </c>
      <c r="BF100" s="334">
        <f t="shared" si="39"/>
        <v>90</v>
      </c>
    </row>
    <row r="101" spans="1:58" ht="14.25" x14ac:dyDescent="0.3">
      <c r="A101" s="358">
        <f t="shared" si="27"/>
        <v>0</v>
      </c>
      <c r="B101" s="358">
        <f t="shared" si="28"/>
        <v>0</v>
      </c>
      <c r="C101" s="358">
        <f t="shared" si="29"/>
        <v>0</v>
      </c>
      <c r="D101" s="358">
        <f t="shared" si="30"/>
        <v>99999</v>
      </c>
      <c r="E101" s="358">
        <f t="shared" si="31"/>
        <v>9999</v>
      </c>
      <c r="F101" s="359" t="str">
        <f t="shared" ca="1" si="32"/>
        <v>90000000900000990000815540</v>
      </c>
      <c r="G101" s="398" t="b">
        <f t="shared" si="33"/>
        <v>1</v>
      </c>
      <c r="H101" s="399">
        <f t="shared" si="34"/>
        <v>91</v>
      </c>
      <c r="I101" s="400" t="s">
        <v>2005</v>
      </c>
      <c r="J101" s="401" t="s">
        <v>1054</v>
      </c>
      <c r="K101" s="402" t="s">
        <v>1054</v>
      </c>
      <c r="L101" s="402" t="s">
        <v>1054</v>
      </c>
      <c r="M101" s="403">
        <v>9999</v>
      </c>
      <c r="N101" s="404">
        <v>0</v>
      </c>
      <c r="O101" s="400" t="s">
        <v>2005</v>
      </c>
      <c r="P101" s="401" t="s">
        <v>1054</v>
      </c>
      <c r="Q101" s="402" t="s">
        <v>1054</v>
      </c>
      <c r="R101" s="402" t="s">
        <v>1054</v>
      </c>
      <c r="S101" s="403">
        <v>9999</v>
      </c>
      <c r="T101" s="404">
        <v>0</v>
      </c>
      <c r="U101" s="400" t="s">
        <v>2005</v>
      </c>
      <c r="V101" s="401" t="s">
        <v>1054</v>
      </c>
      <c r="W101" s="402" t="s">
        <v>1054</v>
      </c>
      <c r="X101" s="402" t="s">
        <v>1054</v>
      </c>
      <c r="Y101" s="403">
        <v>9999</v>
      </c>
      <c r="Z101" s="404">
        <v>0</v>
      </c>
      <c r="AA101" s="400" t="s">
        <v>2005</v>
      </c>
      <c r="AB101" s="401" t="s">
        <v>1054</v>
      </c>
      <c r="AC101" s="402" t="s">
        <v>1054</v>
      </c>
      <c r="AD101" s="402" t="s">
        <v>1054</v>
      </c>
      <c r="AE101" s="403">
        <v>9999</v>
      </c>
      <c r="AF101" s="404">
        <v>0</v>
      </c>
      <c r="AG101" s="409"/>
      <c r="AH101" s="445">
        <f>IF(TYPE(VLOOKUP(H101,Centrum!$A$3:$E$130,5,0))&lt;4,VLOOKUP(H101,Centrum!$A$3:$E$130,5,0),0)</f>
        <v>0</v>
      </c>
      <c r="AI101" s="405" t="str">
        <f>IF(N($AH101)&gt;0,VLOOKUP($AH101,Body!$A$4:$F$259,5,0),"")</f>
        <v/>
      </c>
      <c r="AJ101" s="406" t="str">
        <f>IF(N($AH101)&gt;0,VLOOKUP($AH101,Body!$A$4:$F$259,6,0),"")</f>
        <v/>
      </c>
      <c r="AK101" s="405" t="str">
        <f>IF(N($AH101)&gt;0,VLOOKUP($AH101,Body!$A$4:$F$259,2,0),"")</f>
        <v/>
      </c>
      <c r="AL101" s="407" t="str">
        <f t="shared" si="35"/>
        <v/>
      </c>
      <c r="AM101" s="408">
        <f t="shared" si="36"/>
        <v>0</v>
      </c>
      <c r="AN101" s="334">
        <f>IF(OR(TYPE(I101)&gt;1,TYPE(MATCH(I101,I102:I$139,0))&gt;1),0,MATCH(I101,I102:I$139,0))+IF(OR(TYPE(I101)&gt;1,TYPE(MATCH(I101,O$11:O$139,0))&gt;1),0,MATCH(I101,O$11:O$139,0))+IF(OR(TYPE(I101)&gt;1,TYPE(MATCH(I101,U$11:U$139,0))&gt;1),0,MATCH(I101,U$11:U$139,0))+IF(OR(TYPE(I101)&gt;1,TYPE(MATCH(I101,AA$11:AA$139,0))&gt;1),0,MATCH(I101,AA$11:AA$139,0))</f>
        <v>0</v>
      </c>
      <c r="AO101" s="334">
        <f>IF(OR(TYPE(O101)&gt;1,TYPE(MATCH(O101,I$11:I$139,0))&gt;1),0,MATCH(O101,I$11:I$139,0))+IF(OR(TYPE(O101)&gt;1,TYPE(MATCH(O101,O102:O$139,0))&gt;1),0,MATCH(O101,O102:O$139,0))+IF(OR(TYPE(O101)&gt;1,TYPE(MATCH(O101,U$11:U$139,0))&gt;1),0,MATCH(O101,U$11:U$139,0))+IF(OR(TYPE(O101)&gt;1,TYPE(MATCH(O101,AA$11:AA$139,0))&gt;1),0,MATCH(O101,AA$11:AA$139,0))</f>
        <v>0</v>
      </c>
      <c r="AP101" s="334">
        <f>IF(OR(TYPE(U101)&gt;1,TYPE(MATCH(U101,I$11:I$139,0))&gt;1),0,MATCH(U101,I$11:I$139,0))+IF(OR(TYPE(U101)&gt;1,TYPE(MATCH(U101,O$11:O$139,0))&gt;1),0,MATCH(U101,O$11:O$139,0))+IF(OR(TYPE(U101)&gt;1,TYPE(MATCH(U101,U102:U$139,0))&gt;1),0,MATCH(U101,U102:U$139,0))+IF(OR(TYPE(U101)&gt;1,TYPE(MATCH(U101,AA$11:AA$139,0))&gt;1),0,MATCH(U101,AA$11:AA$139,0))</f>
        <v>0</v>
      </c>
      <c r="AQ101" s="334">
        <f>IF(OR(TYPE(AA101)&gt;1,TYPE(MATCH(AA101,I$11:I$139,0))&gt;1),0,MATCH(AA101,I$11:I$139,0))+IF(OR(TYPE(AA101)&gt;1,TYPE(MATCH(AA101,O$11:O$139,0))&gt;1),0,MATCH(AA101,O$11:O$139,0))+IF(OR(TYPE(AA101)&gt;1,TYPE(MATCH(AA101,U$11:U$139,0))&gt;1),0,MATCH(U101,U$11:U$139,0))+IF(OR(TYPE(AA101)&gt;1,TYPE(MATCH(AA101,AA102:AA$139,0))&gt;1),0,MATCH(AA101,AA102:AA$139,0))</f>
        <v>0</v>
      </c>
      <c r="AR101" s="334">
        <f t="shared" si="37"/>
        <v>0</v>
      </c>
      <c r="AT101" s="333">
        <f t="shared" si="38"/>
        <v>0</v>
      </c>
      <c r="AU101" s="333">
        <f>IF(AND(N(I101)&gt;0,TYPE(VLOOKUP(I101,Hraci!$A$5:$A$800,1,0))&gt;3),1,0) + IF(AND(N(O101)&gt;0,TYPE(VLOOKUP(O101,Hraci!$A$5:$A$800,1,0))&gt;3),1,0) + IF(AND(N(U101)&gt;0,TYPE(VLOOKUP(U101,Hraci!$A$5:$A$800,1,0))&gt;3),1,0)</f>
        <v>0</v>
      </c>
      <c r="BF101" s="334">
        <f t="shared" si="39"/>
        <v>91</v>
      </c>
    </row>
    <row r="102" spans="1:58" ht="14.25" x14ac:dyDescent="0.3">
      <c r="A102" s="358">
        <f t="shared" si="27"/>
        <v>0</v>
      </c>
      <c r="B102" s="358">
        <f t="shared" si="28"/>
        <v>0</v>
      </c>
      <c r="C102" s="358">
        <f t="shared" si="29"/>
        <v>0</v>
      </c>
      <c r="D102" s="358">
        <f t="shared" si="30"/>
        <v>99999</v>
      </c>
      <c r="E102" s="358">
        <f t="shared" si="31"/>
        <v>9999</v>
      </c>
      <c r="F102" s="359" t="str">
        <f t="shared" ca="1" si="32"/>
        <v>90000000900000990000464632</v>
      </c>
      <c r="G102" s="398" t="b">
        <f t="shared" si="33"/>
        <v>1</v>
      </c>
      <c r="H102" s="399">
        <f t="shared" si="34"/>
        <v>92</v>
      </c>
      <c r="I102" s="400" t="s">
        <v>2005</v>
      </c>
      <c r="J102" s="401" t="s">
        <v>1054</v>
      </c>
      <c r="K102" s="402" t="s">
        <v>1054</v>
      </c>
      <c r="L102" s="402" t="s">
        <v>1054</v>
      </c>
      <c r="M102" s="403">
        <v>9999</v>
      </c>
      <c r="N102" s="404">
        <v>0</v>
      </c>
      <c r="O102" s="400" t="s">
        <v>2005</v>
      </c>
      <c r="P102" s="401" t="s">
        <v>1054</v>
      </c>
      <c r="Q102" s="402" t="s">
        <v>1054</v>
      </c>
      <c r="R102" s="402" t="s">
        <v>1054</v>
      </c>
      <c r="S102" s="403">
        <v>9999</v>
      </c>
      <c r="T102" s="404">
        <v>0</v>
      </c>
      <c r="U102" s="400" t="s">
        <v>2005</v>
      </c>
      <c r="V102" s="401" t="s">
        <v>1054</v>
      </c>
      <c r="W102" s="402" t="s">
        <v>1054</v>
      </c>
      <c r="X102" s="402" t="s">
        <v>1054</v>
      </c>
      <c r="Y102" s="403">
        <v>9999</v>
      </c>
      <c r="Z102" s="404">
        <v>0</v>
      </c>
      <c r="AA102" s="400" t="s">
        <v>2005</v>
      </c>
      <c r="AB102" s="401" t="s">
        <v>1054</v>
      </c>
      <c r="AC102" s="402" t="s">
        <v>1054</v>
      </c>
      <c r="AD102" s="402" t="s">
        <v>1054</v>
      </c>
      <c r="AE102" s="403">
        <v>9999</v>
      </c>
      <c r="AF102" s="404">
        <v>0</v>
      </c>
      <c r="AG102" s="409"/>
      <c r="AH102" s="445">
        <f>IF(TYPE(VLOOKUP(H102,Centrum!$A$3:$E$130,5,0))&lt;4,VLOOKUP(H102,Centrum!$A$3:$E$130,5,0),0)</f>
        <v>0</v>
      </c>
      <c r="AI102" s="405" t="str">
        <f>IF(N($AH102)&gt;0,VLOOKUP($AH102,Body!$A$4:$F$259,5,0),"")</f>
        <v/>
      </c>
      <c r="AJ102" s="406" t="str">
        <f>IF(N($AH102)&gt;0,VLOOKUP($AH102,Body!$A$4:$F$259,6,0),"")</f>
        <v/>
      </c>
      <c r="AK102" s="405" t="str">
        <f>IF(N($AH102)&gt;0,VLOOKUP($AH102,Body!$A$4:$F$259,2,0),"")</f>
        <v/>
      </c>
      <c r="AL102" s="407" t="str">
        <f t="shared" si="35"/>
        <v/>
      </c>
      <c r="AM102" s="408">
        <f t="shared" si="36"/>
        <v>0</v>
      </c>
      <c r="AN102" s="334">
        <f>IF(OR(TYPE(I102)&gt;1,TYPE(MATCH(I102,I103:I$139,0))&gt;1),0,MATCH(I102,I103:I$139,0))+IF(OR(TYPE(I102)&gt;1,TYPE(MATCH(I102,O$11:O$139,0))&gt;1),0,MATCH(I102,O$11:O$139,0))+IF(OR(TYPE(I102)&gt;1,TYPE(MATCH(I102,U$11:U$139,0))&gt;1),0,MATCH(I102,U$11:U$139,0))+IF(OR(TYPE(I102)&gt;1,TYPE(MATCH(I102,AA$11:AA$139,0))&gt;1),0,MATCH(I102,AA$11:AA$139,0))</f>
        <v>0</v>
      </c>
      <c r="AO102" s="334">
        <f>IF(OR(TYPE(O102)&gt;1,TYPE(MATCH(O102,I$11:I$139,0))&gt;1),0,MATCH(O102,I$11:I$139,0))+IF(OR(TYPE(O102)&gt;1,TYPE(MATCH(O102,O103:O$139,0))&gt;1),0,MATCH(O102,O103:O$139,0))+IF(OR(TYPE(O102)&gt;1,TYPE(MATCH(O102,U$11:U$139,0))&gt;1),0,MATCH(O102,U$11:U$139,0))+IF(OR(TYPE(O102)&gt;1,TYPE(MATCH(O102,AA$11:AA$139,0))&gt;1),0,MATCH(O102,AA$11:AA$139,0))</f>
        <v>0</v>
      </c>
      <c r="AP102" s="334">
        <f>IF(OR(TYPE(U102)&gt;1,TYPE(MATCH(U102,I$11:I$139,0))&gt;1),0,MATCH(U102,I$11:I$139,0))+IF(OR(TYPE(U102)&gt;1,TYPE(MATCH(U102,O$11:O$139,0))&gt;1),0,MATCH(U102,O$11:O$139,0))+IF(OR(TYPE(U102)&gt;1,TYPE(MATCH(U102,U103:U$139,0))&gt;1),0,MATCH(U102,U103:U$139,0))+IF(OR(TYPE(U102)&gt;1,TYPE(MATCH(U102,AA$11:AA$139,0))&gt;1),0,MATCH(U102,AA$11:AA$139,0))</f>
        <v>0</v>
      </c>
      <c r="AQ102" s="334">
        <f>IF(OR(TYPE(AA102)&gt;1,TYPE(MATCH(AA102,I$11:I$139,0))&gt;1),0,MATCH(AA102,I$11:I$139,0))+IF(OR(TYPE(AA102)&gt;1,TYPE(MATCH(AA102,O$11:O$139,0))&gt;1),0,MATCH(AA102,O$11:O$139,0))+IF(OR(TYPE(AA102)&gt;1,TYPE(MATCH(AA102,U$11:U$139,0))&gt;1),0,MATCH(U102,U$11:U$139,0))+IF(OR(TYPE(AA102)&gt;1,TYPE(MATCH(AA102,AA103:AA$139,0))&gt;1),0,MATCH(AA102,AA103:AA$139,0))</f>
        <v>0</v>
      </c>
      <c r="AR102" s="334">
        <f t="shared" si="37"/>
        <v>0</v>
      </c>
      <c r="AT102" s="333">
        <f t="shared" si="38"/>
        <v>0</v>
      </c>
      <c r="AU102" s="333">
        <f>IF(AND(N(I102)&gt;0,TYPE(VLOOKUP(I102,Hraci!$A$5:$A$800,1,0))&gt;3),1,0) + IF(AND(N(O102)&gt;0,TYPE(VLOOKUP(O102,Hraci!$A$5:$A$800,1,0))&gt;3),1,0) + IF(AND(N(U102)&gt;0,TYPE(VLOOKUP(U102,Hraci!$A$5:$A$800,1,0))&gt;3),1,0)</f>
        <v>0</v>
      </c>
      <c r="BF102" s="334">
        <f t="shared" si="39"/>
        <v>92</v>
      </c>
    </row>
    <row r="103" spans="1:58" ht="14.25" x14ac:dyDescent="0.3">
      <c r="A103" s="317">
        <f t="shared" si="27"/>
        <v>0</v>
      </c>
      <c r="B103" s="317">
        <f t="shared" si="28"/>
        <v>0</v>
      </c>
      <c r="C103" s="317">
        <f t="shared" si="29"/>
        <v>0</v>
      </c>
      <c r="D103" s="317">
        <f t="shared" si="30"/>
        <v>99999</v>
      </c>
      <c r="E103" s="358">
        <f t="shared" si="31"/>
        <v>9999</v>
      </c>
      <c r="F103" s="359" t="str">
        <f t="shared" ca="1" si="32"/>
        <v>90000000900000990000265068</v>
      </c>
      <c r="G103" s="398" t="b">
        <f t="shared" si="33"/>
        <v>1</v>
      </c>
      <c r="H103" s="399">
        <f t="shared" si="34"/>
        <v>93</v>
      </c>
      <c r="I103" s="400" t="s">
        <v>2005</v>
      </c>
      <c r="J103" s="401" t="s">
        <v>1054</v>
      </c>
      <c r="K103" s="402" t="s">
        <v>1054</v>
      </c>
      <c r="L103" s="402" t="s">
        <v>1054</v>
      </c>
      <c r="M103" s="403">
        <v>9999</v>
      </c>
      <c r="N103" s="404">
        <v>0</v>
      </c>
      <c r="O103" s="400" t="s">
        <v>2005</v>
      </c>
      <c r="P103" s="401" t="s">
        <v>1054</v>
      </c>
      <c r="Q103" s="402" t="s">
        <v>1054</v>
      </c>
      <c r="R103" s="402" t="s">
        <v>1054</v>
      </c>
      <c r="S103" s="403">
        <v>9999</v>
      </c>
      <c r="T103" s="404">
        <v>0</v>
      </c>
      <c r="U103" s="400" t="s">
        <v>2005</v>
      </c>
      <c r="V103" s="401" t="s">
        <v>1054</v>
      </c>
      <c r="W103" s="402" t="s">
        <v>1054</v>
      </c>
      <c r="X103" s="402" t="s">
        <v>1054</v>
      </c>
      <c r="Y103" s="403">
        <v>9999</v>
      </c>
      <c r="Z103" s="404">
        <v>0</v>
      </c>
      <c r="AA103" s="400" t="s">
        <v>2005</v>
      </c>
      <c r="AB103" s="401" t="s">
        <v>1054</v>
      </c>
      <c r="AC103" s="402" t="s">
        <v>1054</v>
      </c>
      <c r="AD103" s="402" t="s">
        <v>1054</v>
      </c>
      <c r="AE103" s="403">
        <v>9999</v>
      </c>
      <c r="AF103" s="404">
        <v>0</v>
      </c>
      <c r="AG103" s="409"/>
      <c r="AH103" s="445">
        <f>IF(TYPE(VLOOKUP(H103,Centrum!$A$3:$E$130,5,0))&lt;4,VLOOKUP(H103,Centrum!$A$3:$E$130,5,0),0)</f>
        <v>0</v>
      </c>
      <c r="AI103" s="405" t="str">
        <f>IF(N($AH103)&gt;0,VLOOKUP($AH103,Body!$A$4:$F$259,5,0),"")</f>
        <v/>
      </c>
      <c r="AJ103" s="406" t="str">
        <f>IF(N($AH103)&gt;0,VLOOKUP($AH103,Body!$A$4:$F$259,6,0),"")</f>
        <v/>
      </c>
      <c r="AK103" s="405" t="str">
        <f>IF(N($AH103)&gt;0,VLOOKUP($AH103,Body!$A$4:$F$259,2,0),"")</f>
        <v/>
      </c>
      <c r="AL103" s="407" t="str">
        <f t="shared" si="35"/>
        <v/>
      </c>
      <c r="AM103" s="408">
        <f t="shared" si="36"/>
        <v>0</v>
      </c>
      <c r="AN103" s="334">
        <f>IF(OR(TYPE(I103)&gt;1,TYPE(MATCH(I103,I104:I$139,0))&gt;1),0,MATCH(I103,I104:I$139,0))+IF(OR(TYPE(I103)&gt;1,TYPE(MATCH(I103,O$11:O$139,0))&gt;1),0,MATCH(I103,O$11:O$139,0))+IF(OR(TYPE(I103)&gt;1,TYPE(MATCH(I103,U$11:U$139,0))&gt;1),0,MATCH(I103,U$11:U$139,0))+IF(OR(TYPE(I103)&gt;1,TYPE(MATCH(I103,AA$11:AA$139,0))&gt;1),0,MATCH(I103,AA$11:AA$139,0))</f>
        <v>0</v>
      </c>
      <c r="AO103" s="334">
        <f>IF(OR(TYPE(O103)&gt;1,TYPE(MATCH(O103,I$11:I$139,0))&gt;1),0,MATCH(O103,I$11:I$139,0))+IF(OR(TYPE(O103)&gt;1,TYPE(MATCH(O103,O104:O$139,0))&gt;1),0,MATCH(O103,O104:O$139,0))+IF(OR(TYPE(O103)&gt;1,TYPE(MATCH(O103,U$11:U$139,0))&gt;1),0,MATCH(O103,U$11:U$139,0))+IF(OR(TYPE(O103)&gt;1,TYPE(MATCH(O103,AA$11:AA$139,0))&gt;1),0,MATCH(O103,AA$11:AA$139,0))</f>
        <v>0</v>
      </c>
      <c r="AP103" s="334">
        <f>IF(OR(TYPE(U103)&gt;1,TYPE(MATCH(U103,I$11:I$139,0))&gt;1),0,MATCH(U103,I$11:I$139,0))+IF(OR(TYPE(U103)&gt;1,TYPE(MATCH(U103,O$11:O$139,0))&gt;1),0,MATCH(U103,O$11:O$139,0))+IF(OR(TYPE(U103)&gt;1,TYPE(MATCH(U103,U104:U$139,0))&gt;1),0,MATCH(U103,U104:U$139,0))+IF(OR(TYPE(U103)&gt;1,TYPE(MATCH(U103,AA$11:AA$139,0))&gt;1),0,MATCH(U103,AA$11:AA$139,0))</f>
        <v>0</v>
      </c>
      <c r="AQ103" s="334">
        <f>IF(OR(TYPE(AA103)&gt;1,TYPE(MATCH(AA103,I$11:I$139,0))&gt;1),0,MATCH(AA103,I$11:I$139,0))+IF(OR(TYPE(AA103)&gt;1,TYPE(MATCH(AA103,O$11:O$139,0))&gt;1),0,MATCH(AA103,O$11:O$139,0))+IF(OR(TYPE(AA103)&gt;1,TYPE(MATCH(AA103,U$11:U$139,0))&gt;1),0,MATCH(U103,U$11:U$139,0))+IF(OR(TYPE(AA103)&gt;1,TYPE(MATCH(AA103,AA104:AA$139,0))&gt;1),0,MATCH(AA103,AA104:AA$139,0))</f>
        <v>0</v>
      </c>
      <c r="AR103" s="334">
        <f t="shared" si="37"/>
        <v>0</v>
      </c>
      <c r="AT103" s="333">
        <f t="shared" si="38"/>
        <v>0</v>
      </c>
      <c r="AU103" s="333">
        <f>IF(AND(N(I103)&gt;0,TYPE(VLOOKUP(I103,Hraci!$A$5:$A$800,1,0))&gt;3),1,0) + IF(AND(N(O103)&gt;0,TYPE(VLOOKUP(O103,Hraci!$A$5:$A$800,1,0))&gt;3),1,0) + IF(AND(N(U103)&gt;0,TYPE(VLOOKUP(U103,Hraci!$A$5:$A$800,1,0))&gt;3),1,0)</f>
        <v>0</v>
      </c>
      <c r="BF103" s="334">
        <f t="shared" si="39"/>
        <v>93</v>
      </c>
    </row>
    <row r="104" spans="1:58" ht="14.25" x14ac:dyDescent="0.3">
      <c r="A104" s="358">
        <f t="shared" si="27"/>
        <v>0</v>
      </c>
      <c r="B104" s="358">
        <f t="shared" si="28"/>
        <v>0</v>
      </c>
      <c r="C104" s="358">
        <f t="shared" si="29"/>
        <v>0</v>
      </c>
      <c r="D104" s="358">
        <f t="shared" si="30"/>
        <v>99999</v>
      </c>
      <c r="E104" s="358">
        <f t="shared" si="31"/>
        <v>9999</v>
      </c>
      <c r="F104" s="359" t="str">
        <f t="shared" ca="1" si="32"/>
        <v>90000000900000990000334472</v>
      </c>
      <c r="G104" s="398" t="b">
        <f t="shared" si="33"/>
        <v>1</v>
      </c>
      <c r="H104" s="399">
        <f t="shared" si="34"/>
        <v>94</v>
      </c>
      <c r="I104" s="400" t="s">
        <v>2005</v>
      </c>
      <c r="J104" s="401" t="s">
        <v>1054</v>
      </c>
      <c r="K104" s="402" t="s">
        <v>1054</v>
      </c>
      <c r="L104" s="402" t="s">
        <v>1054</v>
      </c>
      <c r="M104" s="403">
        <v>9999</v>
      </c>
      <c r="N104" s="404">
        <v>0</v>
      </c>
      <c r="O104" s="400" t="s">
        <v>2005</v>
      </c>
      <c r="P104" s="401" t="s">
        <v>1054</v>
      </c>
      <c r="Q104" s="402" t="s">
        <v>1054</v>
      </c>
      <c r="R104" s="402" t="s">
        <v>1054</v>
      </c>
      <c r="S104" s="403">
        <v>9999</v>
      </c>
      <c r="T104" s="404">
        <v>0</v>
      </c>
      <c r="U104" s="400" t="s">
        <v>2005</v>
      </c>
      <c r="V104" s="401" t="s">
        <v>1054</v>
      </c>
      <c r="W104" s="402" t="s">
        <v>1054</v>
      </c>
      <c r="X104" s="402" t="s">
        <v>1054</v>
      </c>
      <c r="Y104" s="403">
        <v>9999</v>
      </c>
      <c r="Z104" s="404">
        <v>0</v>
      </c>
      <c r="AA104" s="400" t="s">
        <v>2005</v>
      </c>
      <c r="AB104" s="401" t="s">
        <v>1054</v>
      </c>
      <c r="AC104" s="402" t="s">
        <v>1054</v>
      </c>
      <c r="AD104" s="402" t="s">
        <v>1054</v>
      </c>
      <c r="AE104" s="403">
        <v>9999</v>
      </c>
      <c r="AF104" s="404">
        <v>0</v>
      </c>
      <c r="AG104" s="409"/>
      <c r="AH104" s="445">
        <f>IF(TYPE(VLOOKUP(H104,Centrum!$A$3:$E$130,5,0))&lt;4,VLOOKUP(H104,Centrum!$A$3:$E$130,5,0),0)</f>
        <v>0</v>
      </c>
      <c r="AI104" s="405" t="str">
        <f>IF(N($AH104)&gt;0,VLOOKUP($AH104,Body!$A$4:$F$259,5,0),"")</f>
        <v/>
      </c>
      <c r="AJ104" s="406" t="str">
        <f>IF(N($AH104)&gt;0,VLOOKUP($AH104,Body!$A$4:$F$259,6,0),"")</f>
        <v/>
      </c>
      <c r="AK104" s="405" t="str">
        <f>IF(N($AH104)&gt;0,VLOOKUP($AH104,Body!$A$4:$F$259,2,0),"")</f>
        <v/>
      </c>
      <c r="AL104" s="407" t="str">
        <f t="shared" si="35"/>
        <v/>
      </c>
      <c r="AM104" s="408">
        <f t="shared" si="36"/>
        <v>0</v>
      </c>
      <c r="AN104" s="334">
        <f>IF(OR(TYPE(I104)&gt;1,TYPE(MATCH(I104,I105:I$139,0))&gt;1),0,MATCH(I104,I105:I$139,0))+IF(OR(TYPE(I104)&gt;1,TYPE(MATCH(I104,O$11:O$139,0))&gt;1),0,MATCH(I104,O$11:O$139,0))+IF(OR(TYPE(I104)&gt;1,TYPE(MATCH(I104,U$11:U$139,0))&gt;1),0,MATCH(I104,U$11:U$139,0))+IF(OR(TYPE(I104)&gt;1,TYPE(MATCH(I104,AA$11:AA$139,0))&gt;1),0,MATCH(I104,AA$11:AA$139,0))</f>
        <v>0</v>
      </c>
      <c r="AO104" s="334">
        <f>IF(OR(TYPE(O104)&gt;1,TYPE(MATCH(O104,I$11:I$139,0))&gt;1),0,MATCH(O104,I$11:I$139,0))+IF(OR(TYPE(O104)&gt;1,TYPE(MATCH(O104,O105:O$139,0))&gt;1),0,MATCH(O104,O105:O$139,0))+IF(OR(TYPE(O104)&gt;1,TYPE(MATCH(O104,U$11:U$139,0))&gt;1),0,MATCH(O104,U$11:U$139,0))+IF(OR(TYPE(O104)&gt;1,TYPE(MATCH(O104,AA$11:AA$139,0))&gt;1),0,MATCH(O104,AA$11:AA$139,0))</f>
        <v>0</v>
      </c>
      <c r="AP104" s="334">
        <f>IF(OR(TYPE(U104)&gt;1,TYPE(MATCH(U104,I$11:I$139,0))&gt;1),0,MATCH(U104,I$11:I$139,0))+IF(OR(TYPE(U104)&gt;1,TYPE(MATCH(U104,O$11:O$139,0))&gt;1),0,MATCH(U104,O$11:O$139,0))+IF(OR(TYPE(U104)&gt;1,TYPE(MATCH(U104,U105:U$139,0))&gt;1),0,MATCH(U104,U105:U$139,0))+IF(OR(TYPE(U104)&gt;1,TYPE(MATCH(U104,AA$11:AA$139,0))&gt;1),0,MATCH(U104,AA$11:AA$139,0))</f>
        <v>0</v>
      </c>
      <c r="AQ104" s="334">
        <f>IF(OR(TYPE(AA104)&gt;1,TYPE(MATCH(AA104,I$11:I$139,0))&gt;1),0,MATCH(AA104,I$11:I$139,0))+IF(OR(TYPE(AA104)&gt;1,TYPE(MATCH(AA104,O$11:O$139,0))&gt;1),0,MATCH(AA104,O$11:O$139,0))+IF(OR(TYPE(AA104)&gt;1,TYPE(MATCH(AA104,U$11:U$139,0))&gt;1),0,MATCH(U104,U$11:U$139,0))+IF(OR(TYPE(AA104)&gt;1,TYPE(MATCH(AA104,AA105:AA$139,0))&gt;1),0,MATCH(AA104,AA105:AA$139,0))</f>
        <v>0</v>
      </c>
      <c r="AR104" s="334">
        <f t="shared" si="37"/>
        <v>0</v>
      </c>
      <c r="AT104" s="333">
        <f t="shared" si="38"/>
        <v>0</v>
      </c>
      <c r="AU104" s="333">
        <f>IF(AND(N(I104)&gt;0,TYPE(VLOOKUP(I104,Hraci!$A$5:$A$800,1,0))&gt;3),1,0) + IF(AND(N(O104)&gt;0,TYPE(VLOOKUP(O104,Hraci!$A$5:$A$800,1,0))&gt;3),1,0) + IF(AND(N(U104)&gt;0,TYPE(VLOOKUP(U104,Hraci!$A$5:$A$800,1,0))&gt;3),1,0)</f>
        <v>0</v>
      </c>
      <c r="BF104" s="334">
        <f t="shared" si="39"/>
        <v>94</v>
      </c>
    </row>
    <row r="105" spans="1:58" ht="14.25" x14ac:dyDescent="0.3">
      <c r="A105" s="358">
        <f t="shared" si="27"/>
        <v>0</v>
      </c>
      <c r="B105" s="358">
        <f t="shared" si="28"/>
        <v>0</v>
      </c>
      <c r="C105" s="358">
        <f t="shared" si="29"/>
        <v>0</v>
      </c>
      <c r="D105" s="358">
        <f t="shared" si="30"/>
        <v>99999</v>
      </c>
      <c r="E105" s="358">
        <f t="shared" si="31"/>
        <v>9999</v>
      </c>
      <c r="F105" s="359" t="str">
        <f t="shared" ca="1" si="32"/>
        <v>90000000900000990000185645</v>
      </c>
      <c r="G105" s="398" t="b">
        <f t="shared" si="33"/>
        <v>1</v>
      </c>
      <c r="H105" s="399">
        <f t="shared" si="34"/>
        <v>95</v>
      </c>
      <c r="I105" s="400" t="s">
        <v>2005</v>
      </c>
      <c r="J105" s="401" t="s">
        <v>1054</v>
      </c>
      <c r="K105" s="402" t="s">
        <v>1054</v>
      </c>
      <c r="L105" s="402" t="s">
        <v>1054</v>
      </c>
      <c r="M105" s="403">
        <v>9999</v>
      </c>
      <c r="N105" s="404">
        <v>0</v>
      </c>
      <c r="O105" s="400" t="s">
        <v>2005</v>
      </c>
      <c r="P105" s="401" t="s">
        <v>1054</v>
      </c>
      <c r="Q105" s="402" t="s">
        <v>1054</v>
      </c>
      <c r="R105" s="402" t="s">
        <v>1054</v>
      </c>
      <c r="S105" s="403">
        <v>9999</v>
      </c>
      <c r="T105" s="404">
        <v>0</v>
      </c>
      <c r="U105" s="400" t="s">
        <v>2005</v>
      </c>
      <c r="V105" s="401" t="s">
        <v>1054</v>
      </c>
      <c r="W105" s="402" t="s">
        <v>1054</v>
      </c>
      <c r="X105" s="402" t="s">
        <v>1054</v>
      </c>
      <c r="Y105" s="403">
        <v>9999</v>
      </c>
      <c r="Z105" s="404">
        <v>0</v>
      </c>
      <c r="AA105" s="400" t="s">
        <v>2005</v>
      </c>
      <c r="AB105" s="401" t="s">
        <v>1054</v>
      </c>
      <c r="AC105" s="402" t="s">
        <v>1054</v>
      </c>
      <c r="AD105" s="402" t="s">
        <v>1054</v>
      </c>
      <c r="AE105" s="403">
        <v>9999</v>
      </c>
      <c r="AF105" s="404">
        <v>0</v>
      </c>
      <c r="AG105" s="409"/>
      <c r="AH105" s="445">
        <f>IF(TYPE(VLOOKUP(H105,Centrum!$A$3:$E$130,5,0))&lt;4,VLOOKUP(H105,Centrum!$A$3:$E$130,5,0),0)</f>
        <v>0</v>
      </c>
      <c r="AI105" s="405" t="str">
        <f>IF(N($AH105)&gt;0,VLOOKUP($AH105,Body!$A$4:$F$259,5,0),"")</f>
        <v/>
      </c>
      <c r="AJ105" s="406" t="str">
        <f>IF(N($AH105)&gt;0,VLOOKUP($AH105,Body!$A$4:$F$259,6,0),"")</f>
        <v/>
      </c>
      <c r="AK105" s="405" t="str">
        <f>IF(N($AH105)&gt;0,VLOOKUP($AH105,Body!$A$4:$F$259,2,0),"")</f>
        <v/>
      </c>
      <c r="AL105" s="407" t="str">
        <f t="shared" si="35"/>
        <v/>
      </c>
      <c r="AM105" s="408">
        <f t="shared" si="36"/>
        <v>0</v>
      </c>
      <c r="AN105" s="334">
        <f>IF(OR(TYPE(I105)&gt;1,TYPE(MATCH(I105,I106:I$139,0))&gt;1),0,MATCH(I105,I106:I$139,0))+IF(OR(TYPE(I105)&gt;1,TYPE(MATCH(I105,O$11:O$139,0))&gt;1),0,MATCH(I105,O$11:O$139,0))+IF(OR(TYPE(I105)&gt;1,TYPE(MATCH(I105,U$11:U$139,0))&gt;1),0,MATCH(I105,U$11:U$139,0))+IF(OR(TYPE(I105)&gt;1,TYPE(MATCH(I105,AA$11:AA$139,0))&gt;1),0,MATCH(I105,AA$11:AA$139,0))</f>
        <v>0</v>
      </c>
      <c r="AO105" s="334">
        <f>IF(OR(TYPE(O105)&gt;1,TYPE(MATCH(O105,I$11:I$139,0))&gt;1),0,MATCH(O105,I$11:I$139,0))+IF(OR(TYPE(O105)&gt;1,TYPE(MATCH(O105,O106:O$139,0))&gt;1),0,MATCH(O105,O106:O$139,0))+IF(OR(TYPE(O105)&gt;1,TYPE(MATCH(O105,U$11:U$139,0))&gt;1),0,MATCH(O105,U$11:U$139,0))+IF(OR(TYPE(O105)&gt;1,TYPE(MATCH(O105,AA$11:AA$139,0))&gt;1),0,MATCH(O105,AA$11:AA$139,0))</f>
        <v>0</v>
      </c>
      <c r="AP105" s="334">
        <f>IF(OR(TYPE(U105)&gt;1,TYPE(MATCH(U105,I$11:I$139,0))&gt;1),0,MATCH(U105,I$11:I$139,0))+IF(OR(TYPE(U105)&gt;1,TYPE(MATCH(U105,O$11:O$139,0))&gt;1),0,MATCH(U105,O$11:O$139,0))+IF(OR(TYPE(U105)&gt;1,TYPE(MATCH(U105,U106:U$139,0))&gt;1),0,MATCH(U105,U106:U$139,0))+IF(OR(TYPE(U105)&gt;1,TYPE(MATCH(U105,AA$11:AA$139,0))&gt;1),0,MATCH(U105,AA$11:AA$139,0))</f>
        <v>0</v>
      </c>
      <c r="AQ105" s="334">
        <f>IF(OR(TYPE(AA105)&gt;1,TYPE(MATCH(AA105,I$11:I$139,0))&gt;1),0,MATCH(AA105,I$11:I$139,0))+IF(OR(TYPE(AA105)&gt;1,TYPE(MATCH(AA105,O$11:O$139,0))&gt;1),0,MATCH(AA105,O$11:O$139,0))+IF(OR(TYPE(AA105)&gt;1,TYPE(MATCH(AA105,U$11:U$139,0))&gt;1),0,MATCH(U105,U$11:U$139,0))+IF(OR(TYPE(AA105)&gt;1,TYPE(MATCH(AA105,AA106:AA$139,0))&gt;1),0,MATCH(AA105,AA106:AA$139,0))</f>
        <v>0</v>
      </c>
      <c r="AR105" s="334">
        <f t="shared" si="37"/>
        <v>0</v>
      </c>
      <c r="AT105" s="333">
        <f t="shared" si="38"/>
        <v>0</v>
      </c>
      <c r="AU105" s="333">
        <f>IF(AND(N(I105)&gt;0,TYPE(VLOOKUP(I105,Hraci!$A$5:$A$800,1,0))&gt;3),1,0) + IF(AND(N(O105)&gt;0,TYPE(VLOOKUP(O105,Hraci!$A$5:$A$800,1,0))&gt;3),1,0) + IF(AND(N(U105)&gt;0,TYPE(VLOOKUP(U105,Hraci!$A$5:$A$800,1,0))&gt;3),1,0)</f>
        <v>0</v>
      </c>
      <c r="BF105" s="334">
        <f t="shared" si="39"/>
        <v>95</v>
      </c>
    </row>
    <row r="106" spans="1:58" ht="14.25" x14ac:dyDescent="0.3">
      <c r="A106" s="317">
        <f t="shared" si="27"/>
        <v>0</v>
      </c>
      <c r="B106" s="317">
        <f t="shared" si="28"/>
        <v>0</v>
      </c>
      <c r="C106" s="317">
        <f t="shared" si="29"/>
        <v>0</v>
      </c>
      <c r="D106" s="317">
        <f t="shared" si="30"/>
        <v>99999</v>
      </c>
      <c r="E106" s="358">
        <f t="shared" si="31"/>
        <v>9999</v>
      </c>
      <c r="F106" s="359" t="str">
        <f t="shared" ca="1" si="32"/>
        <v>90000000900000990000727001</v>
      </c>
      <c r="G106" s="398" t="b">
        <f t="shared" si="33"/>
        <v>1</v>
      </c>
      <c r="H106" s="399">
        <f t="shared" si="34"/>
        <v>96</v>
      </c>
      <c r="I106" s="400" t="s">
        <v>2005</v>
      </c>
      <c r="J106" s="401" t="s">
        <v>1054</v>
      </c>
      <c r="K106" s="402" t="s">
        <v>1054</v>
      </c>
      <c r="L106" s="402" t="s">
        <v>1054</v>
      </c>
      <c r="M106" s="403">
        <v>9999</v>
      </c>
      <c r="N106" s="404">
        <v>0</v>
      </c>
      <c r="O106" s="400" t="s">
        <v>2005</v>
      </c>
      <c r="P106" s="401" t="s">
        <v>1054</v>
      </c>
      <c r="Q106" s="402" t="s">
        <v>1054</v>
      </c>
      <c r="R106" s="402" t="s">
        <v>1054</v>
      </c>
      <c r="S106" s="403">
        <v>9999</v>
      </c>
      <c r="T106" s="404">
        <v>0</v>
      </c>
      <c r="U106" s="400" t="s">
        <v>2005</v>
      </c>
      <c r="V106" s="401" t="s">
        <v>1054</v>
      </c>
      <c r="W106" s="402" t="s">
        <v>1054</v>
      </c>
      <c r="X106" s="402" t="s">
        <v>1054</v>
      </c>
      <c r="Y106" s="403">
        <v>9999</v>
      </c>
      <c r="Z106" s="404">
        <v>0</v>
      </c>
      <c r="AA106" s="400" t="s">
        <v>2005</v>
      </c>
      <c r="AB106" s="401" t="s">
        <v>1054</v>
      </c>
      <c r="AC106" s="402" t="s">
        <v>1054</v>
      </c>
      <c r="AD106" s="402" t="s">
        <v>1054</v>
      </c>
      <c r="AE106" s="403">
        <v>9999</v>
      </c>
      <c r="AF106" s="404">
        <v>0</v>
      </c>
      <c r="AG106" s="409"/>
      <c r="AH106" s="445">
        <f>IF(TYPE(VLOOKUP(H106,Centrum!$A$3:$E$130,5,0))&lt;4,VLOOKUP(H106,Centrum!$A$3:$E$130,5,0),0)</f>
        <v>0</v>
      </c>
      <c r="AI106" s="405" t="str">
        <f>IF(N($AH106)&gt;0,VLOOKUP($AH106,Body!$A$4:$F$259,5,0),"")</f>
        <v/>
      </c>
      <c r="AJ106" s="406" t="str">
        <f>IF(N($AH106)&gt;0,VLOOKUP($AH106,Body!$A$4:$F$259,6,0),"")</f>
        <v/>
      </c>
      <c r="AK106" s="405" t="str">
        <f>IF(N($AH106)&gt;0,VLOOKUP($AH106,Body!$A$4:$F$259,2,0),"")</f>
        <v/>
      </c>
      <c r="AL106" s="407" t="str">
        <f t="shared" si="35"/>
        <v/>
      </c>
      <c r="AM106" s="408">
        <f t="shared" si="36"/>
        <v>0</v>
      </c>
      <c r="AN106" s="334">
        <f>IF(OR(TYPE(I106)&gt;1,TYPE(MATCH(I106,I107:I$139,0))&gt;1),0,MATCH(I106,I107:I$139,0))+IF(OR(TYPE(I106)&gt;1,TYPE(MATCH(I106,O$11:O$139,0))&gt;1),0,MATCH(I106,O$11:O$139,0))+IF(OR(TYPE(I106)&gt;1,TYPE(MATCH(I106,U$11:U$139,0))&gt;1),0,MATCH(I106,U$11:U$139,0))+IF(OR(TYPE(I106)&gt;1,TYPE(MATCH(I106,AA$11:AA$139,0))&gt;1),0,MATCH(I106,AA$11:AA$139,0))</f>
        <v>0</v>
      </c>
      <c r="AO106" s="334">
        <f>IF(OR(TYPE(O106)&gt;1,TYPE(MATCH(O106,I$11:I$139,0))&gt;1),0,MATCH(O106,I$11:I$139,0))+IF(OR(TYPE(O106)&gt;1,TYPE(MATCH(O106,O107:O$139,0))&gt;1),0,MATCH(O106,O107:O$139,0))+IF(OR(TYPE(O106)&gt;1,TYPE(MATCH(O106,U$11:U$139,0))&gt;1),0,MATCH(O106,U$11:U$139,0))+IF(OR(TYPE(O106)&gt;1,TYPE(MATCH(O106,AA$11:AA$139,0))&gt;1),0,MATCH(O106,AA$11:AA$139,0))</f>
        <v>0</v>
      </c>
      <c r="AP106" s="334">
        <f>IF(OR(TYPE(U106)&gt;1,TYPE(MATCH(U106,I$11:I$139,0))&gt;1),0,MATCH(U106,I$11:I$139,0))+IF(OR(TYPE(U106)&gt;1,TYPE(MATCH(U106,O$11:O$139,0))&gt;1),0,MATCH(U106,O$11:O$139,0))+IF(OR(TYPE(U106)&gt;1,TYPE(MATCH(U106,U107:U$139,0))&gt;1),0,MATCH(U106,U107:U$139,0))+IF(OR(TYPE(U106)&gt;1,TYPE(MATCH(U106,AA$11:AA$139,0))&gt;1),0,MATCH(U106,AA$11:AA$139,0))</f>
        <v>0</v>
      </c>
      <c r="AQ106" s="334">
        <f>IF(OR(TYPE(AA106)&gt;1,TYPE(MATCH(AA106,I$11:I$139,0))&gt;1),0,MATCH(AA106,I$11:I$139,0))+IF(OR(TYPE(AA106)&gt;1,TYPE(MATCH(AA106,O$11:O$139,0))&gt;1),0,MATCH(AA106,O$11:O$139,0))+IF(OR(TYPE(AA106)&gt;1,TYPE(MATCH(AA106,U$11:U$139,0))&gt;1),0,MATCH(U106,U$11:U$139,0))+IF(OR(TYPE(AA106)&gt;1,TYPE(MATCH(AA106,AA107:AA$139,0))&gt;1),0,MATCH(AA106,AA107:AA$139,0))</f>
        <v>0</v>
      </c>
      <c r="AR106" s="334">
        <f t="shared" si="37"/>
        <v>0</v>
      </c>
      <c r="AT106" s="333">
        <f t="shared" si="38"/>
        <v>0</v>
      </c>
      <c r="AU106" s="333">
        <f>IF(AND(N(I106)&gt;0,TYPE(VLOOKUP(I106,Hraci!$A$5:$A$800,1,0))&gt;3),1,0) + IF(AND(N(O106)&gt;0,TYPE(VLOOKUP(O106,Hraci!$A$5:$A$800,1,0))&gt;3),1,0) + IF(AND(N(U106)&gt;0,TYPE(VLOOKUP(U106,Hraci!$A$5:$A$800,1,0))&gt;3),1,0)</f>
        <v>0</v>
      </c>
      <c r="BF106" s="334">
        <f t="shared" si="39"/>
        <v>96</v>
      </c>
    </row>
    <row r="107" spans="1:58" ht="14.25" x14ac:dyDescent="0.3">
      <c r="A107" s="358">
        <f t="shared" ref="A107:A138" si="40">IF(OR(LEFT(J107,1)=" ",ISBLANK(J107)),0,1)+IF(OR(LEFT(P107,1)=" ",ISBLANK(P107)),0,1)+IF(OR(LEFT(V107,1)=" ",ISBLANK(V107)),0,1)</f>
        <v>0</v>
      </c>
      <c r="B107" s="358">
        <f t="shared" ref="B107:B138" si="41">IF(AND(TYPE(G107&lt;15),G107=FALSE),1,0)</f>
        <v>0</v>
      </c>
      <c r="C107" s="358">
        <f t="shared" ref="C107:C138" si="42">IF(B107=0,0,N107+T107+Z107)</f>
        <v>0</v>
      </c>
      <c r="D107" s="358">
        <f t="shared" ref="D107:D138" si="43">IF(B107=0,99999,M107+S107+Y107)</f>
        <v>99999</v>
      </c>
      <c r="E107" s="358">
        <f t="shared" ref="E107:E138" si="44">MIN(M107,S107,Y107)</f>
        <v>9999</v>
      </c>
      <c r="F107" s="359" t="str">
        <f t="shared" ref="F107:F138" ca="1" si="45">CONCATENATE(IF(AND($P$4=1,H107&gt;$O$7),"0","9"),TEXT(B107,"0"),IF(AND($P$4=1,H107&gt;$O$7),"000000",TEXT(1000*C107,"000000")),IF(AND($P$4=1,H107&gt;$O$7),"000000",TEXT(999999-D107,"000000")),IF(AND($P$4=1,H107&gt;$O$7),"000000",TEXT(999999-E107,"000000")),TEXT(999999*RAND(),"000000"))</f>
        <v>90000000900000990000069533</v>
      </c>
      <c r="G107" s="398" t="b">
        <f t="shared" ref="G107:G138" si="46">IF(OR($K$6&gt;A107,AR107&gt;0),TRUE,FALSE)</f>
        <v>1</v>
      </c>
      <c r="H107" s="399">
        <f t="shared" ref="H107:H138" si="47">ROW(H107)-10</f>
        <v>97</v>
      </c>
      <c r="I107" s="400" t="s">
        <v>2005</v>
      </c>
      <c r="J107" s="401" t="s">
        <v>1054</v>
      </c>
      <c r="K107" s="402" t="s">
        <v>1054</v>
      </c>
      <c r="L107" s="402" t="s">
        <v>1054</v>
      </c>
      <c r="M107" s="403">
        <v>9999</v>
      </c>
      <c r="N107" s="404">
        <v>0</v>
      </c>
      <c r="O107" s="400" t="s">
        <v>2005</v>
      </c>
      <c r="P107" s="401" t="s">
        <v>1054</v>
      </c>
      <c r="Q107" s="402" t="s">
        <v>1054</v>
      </c>
      <c r="R107" s="402" t="s">
        <v>1054</v>
      </c>
      <c r="S107" s="403">
        <v>9999</v>
      </c>
      <c r="T107" s="404">
        <v>0</v>
      </c>
      <c r="U107" s="400" t="s">
        <v>2005</v>
      </c>
      <c r="V107" s="401" t="s">
        <v>1054</v>
      </c>
      <c r="W107" s="402" t="s">
        <v>1054</v>
      </c>
      <c r="X107" s="402" t="s">
        <v>1054</v>
      </c>
      <c r="Y107" s="403">
        <v>9999</v>
      </c>
      <c r="Z107" s="404">
        <v>0</v>
      </c>
      <c r="AA107" s="400" t="s">
        <v>2005</v>
      </c>
      <c r="AB107" s="401" t="s">
        <v>1054</v>
      </c>
      <c r="AC107" s="402" t="s">
        <v>1054</v>
      </c>
      <c r="AD107" s="402" t="s">
        <v>1054</v>
      </c>
      <c r="AE107" s="403">
        <v>9999</v>
      </c>
      <c r="AF107" s="404">
        <v>0</v>
      </c>
      <c r="AG107" s="409"/>
      <c r="AH107" s="445">
        <f>IF(TYPE(VLOOKUP(H107,Centrum!$A$3:$E$130,5,0))&lt;4,VLOOKUP(H107,Centrum!$A$3:$E$130,5,0),0)</f>
        <v>0</v>
      </c>
      <c r="AI107" s="405" t="str">
        <f>IF(N($AH107)&gt;0,VLOOKUP($AH107,Body!$A$4:$F$259,5,0),"")</f>
        <v/>
      </c>
      <c r="AJ107" s="406" t="str">
        <f>IF(N($AH107)&gt;0,VLOOKUP($AH107,Body!$A$4:$F$259,6,0),"")</f>
        <v/>
      </c>
      <c r="AK107" s="405" t="str">
        <f>IF(N($AH107)&gt;0,VLOOKUP($AH107,Body!$A$4:$F$259,2,0),"")</f>
        <v/>
      </c>
      <c r="AL107" s="407" t="str">
        <f t="shared" ref="AL107:AL138" si="48">IF(N(H107)&gt;$K$7,"",CONCATENATE(IF($Y$9="","",H107&amp;" "),L107,IF(L107="",""," - "),J107," ",K107))</f>
        <v/>
      </c>
      <c r="AM107" s="408">
        <f t="shared" ref="AM107:AM138" si="49">C107</f>
        <v>0</v>
      </c>
      <c r="AN107" s="334">
        <f>IF(OR(TYPE(I107)&gt;1,TYPE(MATCH(I107,I108:I$139,0))&gt;1),0,MATCH(I107,I108:I$139,0))+IF(OR(TYPE(I107)&gt;1,TYPE(MATCH(I107,O$11:O$139,0))&gt;1),0,MATCH(I107,O$11:O$139,0))+IF(OR(TYPE(I107)&gt;1,TYPE(MATCH(I107,U$11:U$139,0))&gt;1),0,MATCH(I107,U$11:U$139,0))+IF(OR(TYPE(I107)&gt;1,TYPE(MATCH(I107,AA$11:AA$139,0))&gt;1),0,MATCH(I107,AA$11:AA$139,0))</f>
        <v>0</v>
      </c>
      <c r="AO107" s="334">
        <f>IF(OR(TYPE(O107)&gt;1,TYPE(MATCH(O107,I$11:I$139,0))&gt;1),0,MATCH(O107,I$11:I$139,0))+IF(OR(TYPE(O107)&gt;1,TYPE(MATCH(O107,O108:O$139,0))&gt;1),0,MATCH(O107,O108:O$139,0))+IF(OR(TYPE(O107)&gt;1,TYPE(MATCH(O107,U$11:U$139,0))&gt;1),0,MATCH(O107,U$11:U$139,0))+IF(OR(TYPE(O107)&gt;1,TYPE(MATCH(O107,AA$11:AA$139,0))&gt;1),0,MATCH(O107,AA$11:AA$139,0))</f>
        <v>0</v>
      </c>
      <c r="AP107" s="334">
        <f>IF(OR(TYPE(U107)&gt;1,TYPE(MATCH(U107,I$11:I$139,0))&gt;1),0,MATCH(U107,I$11:I$139,0))+IF(OR(TYPE(U107)&gt;1,TYPE(MATCH(U107,O$11:O$139,0))&gt;1),0,MATCH(U107,O$11:O$139,0))+IF(OR(TYPE(U107)&gt;1,TYPE(MATCH(U107,U108:U$139,0))&gt;1),0,MATCH(U107,U108:U$139,0))+IF(OR(TYPE(U107)&gt;1,TYPE(MATCH(U107,AA$11:AA$139,0))&gt;1),0,MATCH(U107,AA$11:AA$139,0))</f>
        <v>0</v>
      </c>
      <c r="AQ107" s="334">
        <f>IF(OR(TYPE(AA107)&gt;1,TYPE(MATCH(AA107,I$11:I$139,0))&gt;1),0,MATCH(AA107,I$11:I$139,0))+IF(OR(TYPE(AA107)&gt;1,TYPE(MATCH(AA107,O$11:O$139,0))&gt;1),0,MATCH(AA107,O$11:O$139,0))+IF(OR(TYPE(AA107)&gt;1,TYPE(MATCH(AA107,U$11:U$139,0))&gt;1),0,MATCH(U107,U$11:U$139,0))+IF(OR(TYPE(AA107)&gt;1,TYPE(MATCH(AA107,AA108:AA$139,0))&gt;1),0,MATCH(AA107,AA108:AA$139,0))</f>
        <v>0</v>
      </c>
      <c r="AR107" s="334">
        <f t="shared" ref="AR107:AR138" si="50">SUM(AN107:AQ107)</f>
        <v>0</v>
      </c>
      <c r="AT107" s="333">
        <f t="shared" ref="AT107:AT138" si="51">IF(AU107=$K$6,1,0)</f>
        <v>0</v>
      </c>
      <c r="AU107" s="333">
        <f>IF(AND(N(I107)&gt;0,TYPE(VLOOKUP(I107,Hraci!$A$5:$A$800,1,0))&gt;3),1,0) + IF(AND(N(O107)&gt;0,TYPE(VLOOKUP(O107,Hraci!$A$5:$A$800,1,0))&gt;3),1,0) + IF(AND(N(U107)&gt;0,TYPE(VLOOKUP(U107,Hraci!$A$5:$A$800,1,0))&gt;3),1,0)</f>
        <v>0</v>
      </c>
      <c r="BF107" s="334">
        <f t="shared" si="39"/>
        <v>97</v>
      </c>
    </row>
    <row r="108" spans="1:58" ht="14.25" x14ac:dyDescent="0.3">
      <c r="A108" s="358">
        <f t="shared" si="40"/>
        <v>0</v>
      </c>
      <c r="B108" s="358">
        <f t="shared" si="41"/>
        <v>0</v>
      </c>
      <c r="C108" s="358">
        <f t="shared" si="42"/>
        <v>0</v>
      </c>
      <c r="D108" s="358">
        <f t="shared" si="43"/>
        <v>99999</v>
      </c>
      <c r="E108" s="358">
        <f t="shared" si="44"/>
        <v>9999</v>
      </c>
      <c r="F108" s="359" t="str">
        <f t="shared" ca="1" si="45"/>
        <v>90000000900000990000523688</v>
      </c>
      <c r="G108" s="398" t="b">
        <f t="shared" si="46"/>
        <v>1</v>
      </c>
      <c r="H108" s="399">
        <f t="shared" si="47"/>
        <v>98</v>
      </c>
      <c r="I108" s="400" t="s">
        <v>2005</v>
      </c>
      <c r="J108" s="401" t="s">
        <v>1054</v>
      </c>
      <c r="K108" s="402" t="s">
        <v>1054</v>
      </c>
      <c r="L108" s="402" t="s">
        <v>1054</v>
      </c>
      <c r="M108" s="403">
        <v>9999</v>
      </c>
      <c r="N108" s="404">
        <v>0</v>
      </c>
      <c r="O108" s="400" t="s">
        <v>2005</v>
      </c>
      <c r="P108" s="401" t="s">
        <v>1054</v>
      </c>
      <c r="Q108" s="402" t="s">
        <v>1054</v>
      </c>
      <c r="R108" s="402" t="s">
        <v>1054</v>
      </c>
      <c r="S108" s="403">
        <v>9999</v>
      </c>
      <c r="T108" s="404">
        <v>0</v>
      </c>
      <c r="U108" s="400" t="s">
        <v>2005</v>
      </c>
      <c r="V108" s="401" t="s">
        <v>1054</v>
      </c>
      <c r="W108" s="402" t="s">
        <v>1054</v>
      </c>
      <c r="X108" s="402" t="s">
        <v>1054</v>
      </c>
      <c r="Y108" s="403">
        <v>9999</v>
      </c>
      <c r="Z108" s="404">
        <v>0</v>
      </c>
      <c r="AA108" s="400" t="s">
        <v>2005</v>
      </c>
      <c r="AB108" s="401" t="s">
        <v>1054</v>
      </c>
      <c r="AC108" s="402" t="s">
        <v>1054</v>
      </c>
      <c r="AD108" s="402" t="s">
        <v>1054</v>
      </c>
      <c r="AE108" s="403">
        <v>9999</v>
      </c>
      <c r="AF108" s="404">
        <v>0</v>
      </c>
      <c r="AG108" s="409"/>
      <c r="AH108" s="445">
        <f>IF(TYPE(VLOOKUP(H108,Centrum!$A$3:$E$130,5,0))&lt;4,VLOOKUP(H108,Centrum!$A$3:$E$130,5,0),0)</f>
        <v>0</v>
      </c>
      <c r="AI108" s="405" t="str">
        <f>IF(N($AH108)&gt;0,VLOOKUP($AH108,Body!$A$4:$F$259,5,0),"")</f>
        <v/>
      </c>
      <c r="AJ108" s="406" t="str">
        <f>IF(N($AH108)&gt;0,VLOOKUP($AH108,Body!$A$4:$F$259,6,0),"")</f>
        <v/>
      </c>
      <c r="AK108" s="405" t="str">
        <f>IF(N($AH108)&gt;0,VLOOKUP($AH108,Body!$A$4:$F$259,2,0),"")</f>
        <v/>
      </c>
      <c r="AL108" s="407" t="str">
        <f t="shared" si="48"/>
        <v/>
      </c>
      <c r="AM108" s="408">
        <f t="shared" si="49"/>
        <v>0</v>
      </c>
      <c r="AN108" s="334">
        <f>IF(OR(TYPE(I108)&gt;1,TYPE(MATCH(I108,I109:I$139,0))&gt;1),0,MATCH(I108,I109:I$139,0))+IF(OR(TYPE(I108)&gt;1,TYPE(MATCH(I108,O$11:O$139,0))&gt;1),0,MATCH(I108,O$11:O$139,0))+IF(OR(TYPE(I108)&gt;1,TYPE(MATCH(I108,U$11:U$139,0))&gt;1),0,MATCH(I108,U$11:U$139,0))+IF(OR(TYPE(I108)&gt;1,TYPE(MATCH(I108,AA$11:AA$139,0))&gt;1),0,MATCH(I108,AA$11:AA$139,0))</f>
        <v>0</v>
      </c>
      <c r="AO108" s="334">
        <f>IF(OR(TYPE(O108)&gt;1,TYPE(MATCH(O108,I$11:I$139,0))&gt;1),0,MATCH(O108,I$11:I$139,0))+IF(OR(TYPE(O108)&gt;1,TYPE(MATCH(O108,O109:O$139,0))&gt;1),0,MATCH(O108,O109:O$139,0))+IF(OR(TYPE(O108)&gt;1,TYPE(MATCH(O108,U$11:U$139,0))&gt;1),0,MATCH(O108,U$11:U$139,0))+IF(OR(TYPE(O108)&gt;1,TYPE(MATCH(O108,AA$11:AA$139,0))&gt;1),0,MATCH(O108,AA$11:AA$139,0))</f>
        <v>0</v>
      </c>
      <c r="AP108" s="334">
        <f>IF(OR(TYPE(U108)&gt;1,TYPE(MATCH(U108,I$11:I$139,0))&gt;1),0,MATCH(U108,I$11:I$139,0))+IF(OR(TYPE(U108)&gt;1,TYPE(MATCH(U108,O$11:O$139,0))&gt;1),0,MATCH(U108,O$11:O$139,0))+IF(OR(TYPE(U108)&gt;1,TYPE(MATCH(U108,U109:U$139,0))&gt;1),0,MATCH(U108,U109:U$139,0))+IF(OR(TYPE(U108)&gt;1,TYPE(MATCH(U108,AA$11:AA$139,0))&gt;1),0,MATCH(U108,AA$11:AA$139,0))</f>
        <v>0</v>
      </c>
      <c r="AQ108" s="334">
        <f>IF(OR(TYPE(AA108)&gt;1,TYPE(MATCH(AA108,I$11:I$139,0))&gt;1),0,MATCH(AA108,I$11:I$139,0))+IF(OR(TYPE(AA108)&gt;1,TYPE(MATCH(AA108,O$11:O$139,0))&gt;1),0,MATCH(AA108,O$11:O$139,0))+IF(OR(TYPE(AA108)&gt;1,TYPE(MATCH(AA108,U$11:U$139,0))&gt;1),0,MATCH(U108,U$11:U$139,0))+IF(OR(TYPE(AA108)&gt;1,TYPE(MATCH(AA108,AA109:AA$139,0))&gt;1),0,MATCH(AA108,AA109:AA$139,0))</f>
        <v>0</v>
      </c>
      <c r="AR108" s="334">
        <f t="shared" si="50"/>
        <v>0</v>
      </c>
      <c r="AT108" s="333">
        <f t="shared" si="51"/>
        <v>0</v>
      </c>
      <c r="AU108" s="333">
        <f>IF(AND(N(I108)&gt;0,TYPE(VLOOKUP(I108,Hraci!$A$5:$A$800,1,0))&gt;3),1,0) + IF(AND(N(O108)&gt;0,TYPE(VLOOKUP(O108,Hraci!$A$5:$A$800,1,0))&gt;3),1,0) + IF(AND(N(U108)&gt;0,TYPE(VLOOKUP(U108,Hraci!$A$5:$A$800,1,0))&gt;3),1,0)</f>
        <v>0</v>
      </c>
      <c r="BF108" s="334">
        <f t="shared" si="39"/>
        <v>98</v>
      </c>
    </row>
    <row r="109" spans="1:58" ht="14.25" x14ac:dyDescent="0.3">
      <c r="A109" s="358">
        <f t="shared" si="40"/>
        <v>0</v>
      </c>
      <c r="B109" s="358">
        <f t="shared" si="41"/>
        <v>0</v>
      </c>
      <c r="C109" s="358">
        <f t="shared" si="42"/>
        <v>0</v>
      </c>
      <c r="D109" s="358">
        <f t="shared" si="43"/>
        <v>99999</v>
      </c>
      <c r="E109" s="358">
        <f t="shared" si="44"/>
        <v>9999</v>
      </c>
      <c r="F109" s="359" t="str">
        <f t="shared" ca="1" si="45"/>
        <v>90000000900000990000758141</v>
      </c>
      <c r="G109" s="398" t="b">
        <f t="shared" si="46"/>
        <v>1</v>
      </c>
      <c r="H109" s="399">
        <f t="shared" si="47"/>
        <v>99</v>
      </c>
      <c r="I109" s="400" t="s">
        <v>2005</v>
      </c>
      <c r="J109" s="401" t="s">
        <v>1054</v>
      </c>
      <c r="K109" s="402" t="s">
        <v>1054</v>
      </c>
      <c r="L109" s="402" t="s">
        <v>1054</v>
      </c>
      <c r="M109" s="403">
        <v>9999</v>
      </c>
      <c r="N109" s="404">
        <v>0</v>
      </c>
      <c r="O109" s="400" t="s">
        <v>2005</v>
      </c>
      <c r="P109" s="401" t="s">
        <v>1054</v>
      </c>
      <c r="Q109" s="402" t="s">
        <v>1054</v>
      </c>
      <c r="R109" s="402" t="s">
        <v>1054</v>
      </c>
      <c r="S109" s="403">
        <v>9999</v>
      </c>
      <c r="T109" s="404">
        <v>0</v>
      </c>
      <c r="U109" s="400" t="s">
        <v>2005</v>
      </c>
      <c r="V109" s="401" t="s">
        <v>1054</v>
      </c>
      <c r="W109" s="402" t="s">
        <v>1054</v>
      </c>
      <c r="X109" s="402" t="s">
        <v>1054</v>
      </c>
      <c r="Y109" s="403">
        <v>9999</v>
      </c>
      <c r="Z109" s="404">
        <v>0</v>
      </c>
      <c r="AA109" s="400" t="s">
        <v>2005</v>
      </c>
      <c r="AB109" s="401" t="s">
        <v>1054</v>
      </c>
      <c r="AC109" s="402" t="s">
        <v>1054</v>
      </c>
      <c r="AD109" s="402" t="s">
        <v>1054</v>
      </c>
      <c r="AE109" s="403">
        <v>9999</v>
      </c>
      <c r="AF109" s="404">
        <v>0</v>
      </c>
      <c r="AG109" s="409"/>
      <c r="AH109" s="445">
        <f>IF(TYPE(VLOOKUP(H109,Centrum!$A$3:$E$130,5,0))&lt;4,VLOOKUP(H109,Centrum!$A$3:$E$130,5,0),0)</f>
        <v>0</v>
      </c>
      <c r="AI109" s="405" t="str">
        <f>IF(N($AH109)&gt;0,VLOOKUP($AH109,Body!$A$4:$F$259,5,0),"")</f>
        <v/>
      </c>
      <c r="AJ109" s="406" t="str">
        <f>IF(N($AH109)&gt;0,VLOOKUP($AH109,Body!$A$4:$F$259,6,0),"")</f>
        <v/>
      </c>
      <c r="AK109" s="405" t="str">
        <f>IF(N($AH109)&gt;0,VLOOKUP($AH109,Body!$A$4:$F$259,2,0),"")</f>
        <v/>
      </c>
      <c r="AL109" s="407" t="str">
        <f t="shared" si="48"/>
        <v/>
      </c>
      <c r="AM109" s="408">
        <f t="shared" si="49"/>
        <v>0</v>
      </c>
      <c r="AN109" s="334">
        <f>IF(OR(TYPE(I109)&gt;1,TYPE(MATCH(I109,I110:I$139,0))&gt;1),0,MATCH(I109,I110:I$139,0))+IF(OR(TYPE(I109)&gt;1,TYPE(MATCH(I109,O$11:O$139,0))&gt;1),0,MATCH(I109,O$11:O$139,0))+IF(OR(TYPE(I109)&gt;1,TYPE(MATCH(I109,U$11:U$139,0))&gt;1),0,MATCH(I109,U$11:U$139,0))+IF(OR(TYPE(I109)&gt;1,TYPE(MATCH(I109,AA$11:AA$139,0))&gt;1),0,MATCH(I109,AA$11:AA$139,0))</f>
        <v>0</v>
      </c>
      <c r="AO109" s="334">
        <f>IF(OR(TYPE(O109)&gt;1,TYPE(MATCH(O109,I$11:I$139,0))&gt;1),0,MATCH(O109,I$11:I$139,0))+IF(OR(TYPE(O109)&gt;1,TYPE(MATCH(O109,O110:O$139,0))&gt;1),0,MATCH(O109,O110:O$139,0))+IF(OR(TYPE(O109)&gt;1,TYPE(MATCH(O109,U$11:U$139,0))&gt;1),0,MATCH(O109,U$11:U$139,0))+IF(OR(TYPE(O109)&gt;1,TYPE(MATCH(O109,AA$11:AA$139,0))&gt;1),0,MATCH(O109,AA$11:AA$139,0))</f>
        <v>0</v>
      </c>
      <c r="AP109" s="334">
        <f>IF(OR(TYPE(U109)&gt;1,TYPE(MATCH(U109,I$11:I$139,0))&gt;1),0,MATCH(U109,I$11:I$139,0))+IF(OR(TYPE(U109)&gt;1,TYPE(MATCH(U109,O$11:O$139,0))&gt;1),0,MATCH(U109,O$11:O$139,0))+IF(OR(TYPE(U109)&gt;1,TYPE(MATCH(U109,U110:U$139,0))&gt;1),0,MATCH(U109,U110:U$139,0))+IF(OR(TYPE(U109)&gt;1,TYPE(MATCH(U109,AA$11:AA$139,0))&gt;1),0,MATCH(U109,AA$11:AA$139,0))</f>
        <v>0</v>
      </c>
      <c r="AQ109" s="334">
        <f>IF(OR(TYPE(AA109)&gt;1,TYPE(MATCH(AA109,I$11:I$139,0))&gt;1),0,MATCH(AA109,I$11:I$139,0))+IF(OR(TYPE(AA109)&gt;1,TYPE(MATCH(AA109,O$11:O$139,0))&gt;1),0,MATCH(AA109,O$11:O$139,0))+IF(OR(TYPE(AA109)&gt;1,TYPE(MATCH(AA109,U$11:U$139,0))&gt;1),0,MATCH(U109,U$11:U$139,0))+IF(OR(TYPE(AA109)&gt;1,TYPE(MATCH(AA109,AA110:AA$139,0))&gt;1),0,MATCH(AA109,AA110:AA$139,0))</f>
        <v>0</v>
      </c>
      <c r="AR109" s="334">
        <f t="shared" si="50"/>
        <v>0</v>
      </c>
      <c r="AT109" s="333">
        <f t="shared" si="51"/>
        <v>0</v>
      </c>
      <c r="AU109" s="333">
        <f>IF(AND(N(I109)&gt;0,TYPE(VLOOKUP(I109,Hraci!$A$5:$A$800,1,0))&gt;3),1,0) + IF(AND(N(O109)&gt;0,TYPE(VLOOKUP(O109,Hraci!$A$5:$A$800,1,0))&gt;3),1,0) + IF(AND(N(U109)&gt;0,TYPE(VLOOKUP(U109,Hraci!$A$5:$A$800,1,0))&gt;3),1,0)</f>
        <v>0</v>
      </c>
      <c r="BF109" s="334">
        <f t="shared" si="39"/>
        <v>99</v>
      </c>
    </row>
    <row r="110" spans="1:58" ht="14.25" x14ac:dyDescent="0.3">
      <c r="A110" s="358">
        <f t="shared" si="40"/>
        <v>0</v>
      </c>
      <c r="B110" s="358">
        <f t="shared" si="41"/>
        <v>0</v>
      </c>
      <c r="C110" s="358">
        <f t="shared" si="42"/>
        <v>0</v>
      </c>
      <c r="D110" s="358">
        <f t="shared" si="43"/>
        <v>99999</v>
      </c>
      <c r="E110" s="358">
        <f t="shared" si="44"/>
        <v>9999</v>
      </c>
      <c r="F110" s="359" t="str">
        <f t="shared" ca="1" si="45"/>
        <v>90000000900000990000254579</v>
      </c>
      <c r="G110" s="398" t="b">
        <f t="shared" si="46"/>
        <v>1</v>
      </c>
      <c r="H110" s="399">
        <f t="shared" si="47"/>
        <v>100</v>
      </c>
      <c r="I110" s="400" t="s">
        <v>2005</v>
      </c>
      <c r="J110" s="401" t="s">
        <v>1054</v>
      </c>
      <c r="K110" s="402" t="s">
        <v>1054</v>
      </c>
      <c r="L110" s="402" t="s">
        <v>1054</v>
      </c>
      <c r="M110" s="403">
        <v>9999</v>
      </c>
      <c r="N110" s="404">
        <v>0</v>
      </c>
      <c r="O110" s="400" t="s">
        <v>2005</v>
      </c>
      <c r="P110" s="401" t="s">
        <v>1054</v>
      </c>
      <c r="Q110" s="402" t="s">
        <v>1054</v>
      </c>
      <c r="R110" s="402" t="s">
        <v>1054</v>
      </c>
      <c r="S110" s="403">
        <v>9999</v>
      </c>
      <c r="T110" s="404">
        <v>0</v>
      </c>
      <c r="U110" s="400" t="s">
        <v>2005</v>
      </c>
      <c r="V110" s="401" t="s">
        <v>1054</v>
      </c>
      <c r="W110" s="402" t="s">
        <v>1054</v>
      </c>
      <c r="X110" s="402" t="s">
        <v>1054</v>
      </c>
      <c r="Y110" s="403">
        <v>9999</v>
      </c>
      <c r="Z110" s="404">
        <v>0</v>
      </c>
      <c r="AA110" s="400" t="s">
        <v>2005</v>
      </c>
      <c r="AB110" s="401" t="s">
        <v>1054</v>
      </c>
      <c r="AC110" s="402" t="s">
        <v>1054</v>
      </c>
      <c r="AD110" s="402" t="s">
        <v>1054</v>
      </c>
      <c r="AE110" s="403">
        <v>9999</v>
      </c>
      <c r="AF110" s="404">
        <v>0</v>
      </c>
      <c r="AG110" s="409"/>
      <c r="AH110" s="445">
        <f>IF(TYPE(VLOOKUP(H110,Centrum!$A$3:$E$130,5,0))&lt;4,VLOOKUP(H110,Centrum!$A$3:$E$130,5,0),0)</f>
        <v>0</v>
      </c>
      <c r="AI110" s="405" t="str">
        <f>IF(N($AH110)&gt;0,VLOOKUP($AH110,Body!$A$4:$F$259,5,0),"")</f>
        <v/>
      </c>
      <c r="AJ110" s="406" t="str">
        <f>IF(N($AH110)&gt;0,VLOOKUP($AH110,Body!$A$4:$F$259,6,0),"")</f>
        <v/>
      </c>
      <c r="AK110" s="405" t="str">
        <f>IF(N($AH110)&gt;0,VLOOKUP($AH110,Body!$A$4:$F$259,2,0),"")</f>
        <v/>
      </c>
      <c r="AL110" s="407" t="str">
        <f t="shared" si="48"/>
        <v/>
      </c>
      <c r="AM110" s="408">
        <f t="shared" si="49"/>
        <v>0</v>
      </c>
      <c r="AN110" s="334">
        <f>IF(OR(TYPE(I110)&gt;1,TYPE(MATCH(I110,I111:I$139,0))&gt;1),0,MATCH(I110,I111:I$139,0))+IF(OR(TYPE(I110)&gt;1,TYPE(MATCH(I110,O$11:O$139,0))&gt;1),0,MATCH(I110,O$11:O$139,0))+IF(OR(TYPE(I110)&gt;1,TYPE(MATCH(I110,U$11:U$139,0))&gt;1),0,MATCH(I110,U$11:U$139,0))+IF(OR(TYPE(I110)&gt;1,TYPE(MATCH(I110,AA$11:AA$139,0))&gt;1),0,MATCH(I110,AA$11:AA$139,0))</f>
        <v>0</v>
      </c>
      <c r="AO110" s="334">
        <f>IF(OR(TYPE(O110)&gt;1,TYPE(MATCH(O110,I$11:I$139,0))&gt;1),0,MATCH(O110,I$11:I$139,0))+IF(OR(TYPE(O110)&gt;1,TYPE(MATCH(O110,O111:O$139,0))&gt;1),0,MATCH(O110,O111:O$139,0))+IF(OR(TYPE(O110)&gt;1,TYPE(MATCH(O110,U$11:U$139,0))&gt;1),0,MATCH(O110,U$11:U$139,0))+IF(OR(TYPE(O110)&gt;1,TYPE(MATCH(O110,AA$11:AA$139,0))&gt;1),0,MATCH(O110,AA$11:AA$139,0))</f>
        <v>0</v>
      </c>
      <c r="AP110" s="334">
        <f>IF(OR(TYPE(U110)&gt;1,TYPE(MATCH(U110,I$11:I$139,0))&gt;1),0,MATCH(U110,I$11:I$139,0))+IF(OR(TYPE(U110)&gt;1,TYPE(MATCH(U110,O$11:O$139,0))&gt;1),0,MATCH(U110,O$11:O$139,0))+IF(OR(TYPE(U110)&gt;1,TYPE(MATCH(U110,U111:U$139,0))&gt;1),0,MATCH(U110,U111:U$139,0))+IF(OR(TYPE(U110)&gt;1,TYPE(MATCH(U110,AA$11:AA$139,0))&gt;1),0,MATCH(U110,AA$11:AA$139,0))</f>
        <v>0</v>
      </c>
      <c r="AQ110" s="334">
        <f>IF(OR(TYPE(AA110)&gt;1,TYPE(MATCH(AA110,I$11:I$139,0))&gt;1),0,MATCH(AA110,I$11:I$139,0))+IF(OR(TYPE(AA110)&gt;1,TYPE(MATCH(AA110,O$11:O$139,0))&gt;1),0,MATCH(AA110,O$11:O$139,0))+IF(OR(TYPE(AA110)&gt;1,TYPE(MATCH(AA110,U$11:U$139,0))&gt;1),0,MATCH(U110,U$11:U$139,0))+IF(OR(TYPE(AA110)&gt;1,TYPE(MATCH(AA110,AA111:AA$139,0))&gt;1),0,MATCH(AA110,AA111:AA$139,0))</f>
        <v>0</v>
      </c>
      <c r="AR110" s="334">
        <f t="shared" si="50"/>
        <v>0</v>
      </c>
      <c r="AT110" s="333">
        <f t="shared" si="51"/>
        <v>0</v>
      </c>
      <c r="AU110" s="333">
        <f>IF(AND(N(I110)&gt;0,TYPE(VLOOKUP(I110,Hraci!$A$5:$A$800,1,0))&gt;3),1,0) + IF(AND(N(O110)&gt;0,TYPE(VLOOKUP(O110,Hraci!$A$5:$A$800,1,0))&gt;3),1,0) + IF(AND(N(U110)&gt;0,TYPE(VLOOKUP(U110,Hraci!$A$5:$A$800,1,0))&gt;3),1,0)</f>
        <v>0</v>
      </c>
      <c r="BF110" s="334">
        <f t="shared" si="39"/>
        <v>100</v>
      </c>
    </row>
    <row r="111" spans="1:58" ht="14.25" x14ac:dyDescent="0.3">
      <c r="A111" s="358">
        <f t="shared" si="40"/>
        <v>0</v>
      </c>
      <c r="B111" s="358">
        <f t="shared" si="41"/>
        <v>0</v>
      </c>
      <c r="C111" s="358">
        <f t="shared" si="42"/>
        <v>0</v>
      </c>
      <c r="D111" s="358">
        <f t="shared" si="43"/>
        <v>99999</v>
      </c>
      <c r="E111" s="358">
        <f t="shared" si="44"/>
        <v>9999</v>
      </c>
      <c r="F111" s="359" t="str">
        <f t="shared" ca="1" si="45"/>
        <v>90000000900000990000538097</v>
      </c>
      <c r="G111" s="398" t="b">
        <f t="shared" si="46"/>
        <v>1</v>
      </c>
      <c r="H111" s="399">
        <f t="shared" si="47"/>
        <v>101</v>
      </c>
      <c r="I111" s="400" t="s">
        <v>2005</v>
      </c>
      <c r="J111" s="401" t="s">
        <v>1054</v>
      </c>
      <c r="K111" s="402" t="s">
        <v>1054</v>
      </c>
      <c r="L111" s="402" t="s">
        <v>1054</v>
      </c>
      <c r="M111" s="403">
        <v>9999</v>
      </c>
      <c r="N111" s="404">
        <v>0</v>
      </c>
      <c r="O111" s="400" t="s">
        <v>2005</v>
      </c>
      <c r="P111" s="401" t="s">
        <v>1054</v>
      </c>
      <c r="Q111" s="402" t="s">
        <v>1054</v>
      </c>
      <c r="R111" s="402" t="s">
        <v>1054</v>
      </c>
      <c r="S111" s="403">
        <v>9999</v>
      </c>
      <c r="T111" s="404">
        <v>0</v>
      </c>
      <c r="U111" s="400" t="s">
        <v>2005</v>
      </c>
      <c r="V111" s="401" t="s">
        <v>1054</v>
      </c>
      <c r="W111" s="402" t="s">
        <v>1054</v>
      </c>
      <c r="X111" s="402" t="s">
        <v>1054</v>
      </c>
      <c r="Y111" s="403">
        <v>9999</v>
      </c>
      <c r="Z111" s="404">
        <v>0</v>
      </c>
      <c r="AA111" s="400" t="s">
        <v>2005</v>
      </c>
      <c r="AB111" s="401" t="s">
        <v>1054</v>
      </c>
      <c r="AC111" s="402" t="s">
        <v>1054</v>
      </c>
      <c r="AD111" s="402" t="s">
        <v>1054</v>
      </c>
      <c r="AE111" s="403">
        <v>9999</v>
      </c>
      <c r="AF111" s="404">
        <v>0</v>
      </c>
      <c r="AG111" s="409"/>
      <c r="AH111" s="445">
        <f>IF(TYPE(VLOOKUP(H111,Centrum!$A$3:$E$130,5,0))&lt;4,VLOOKUP(H111,Centrum!$A$3:$E$130,5,0),0)</f>
        <v>0</v>
      </c>
      <c r="AI111" s="405" t="str">
        <f>IF(N($AH111)&gt;0,VLOOKUP($AH111,Body!$A$4:$F$259,5,0),"")</f>
        <v/>
      </c>
      <c r="AJ111" s="406" t="str">
        <f>IF(N($AH111)&gt;0,VLOOKUP($AH111,Body!$A$4:$F$259,6,0),"")</f>
        <v/>
      </c>
      <c r="AK111" s="405" t="str">
        <f>IF(N($AH111)&gt;0,VLOOKUP($AH111,Body!$A$4:$F$259,2,0),"")</f>
        <v/>
      </c>
      <c r="AL111" s="407" t="str">
        <f t="shared" si="48"/>
        <v/>
      </c>
      <c r="AM111" s="408">
        <f t="shared" si="49"/>
        <v>0</v>
      </c>
      <c r="AN111" s="334">
        <f>IF(OR(TYPE(I111)&gt;1,TYPE(MATCH(I111,I112:I$139,0))&gt;1),0,MATCH(I111,I112:I$139,0))+IF(OR(TYPE(I111)&gt;1,TYPE(MATCH(I111,O$11:O$139,0))&gt;1),0,MATCH(I111,O$11:O$139,0))+IF(OR(TYPE(I111)&gt;1,TYPE(MATCH(I111,U$11:U$139,0))&gt;1),0,MATCH(I111,U$11:U$139,0))+IF(OR(TYPE(I111)&gt;1,TYPE(MATCH(I111,AA$11:AA$139,0))&gt;1),0,MATCH(I111,AA$11:AA$139,0))</f>
        <v>0</v>
      </c>
      <c r="AO111" s="334">
        <f>IF(OR(TYPE(O111)&gt;1,TYPE(MATCH(O111,I$11:I$139,0))&gt;1),0,MATCH(O111,I$11:I$139,0))+IF(OR(TYPE(O111)&gt;1,TYPE(MATCH(O111,O112:O$139,0))&gt;1),0,MATCH(O111,O112:O$139,0))+IF(OR(TYPE(O111)&gt;1,TYPE(MATCH(O111,U$11:U$139,0))&gt;1),0,MATCH(O111,U$11:U$139,0))+IF(OR(TYPE(O111)&gt;1,TYPE(MATCH(O111,AA$11:AA$139,0))&gt;1),0,MATCH(O111,AA$11:AA$139,0))</f>
        <v>0</v>
      </c>
      <c r="AP111" s="334">
        <f>IF(OR(TYPE(U111)&gt;1,TYPE(MATCH(U111,I$11:I$139,0))&gt;1),0,MATCH(U111,I$11:I$139,0))+IF(OR(TYPE(U111)&gt;1,TYPE(MATCH(U111,O$11:O$139,0))&gt;1),0,MATCH(U111,O$11:O$139,0))+IF(OR(TYPE(U111)&gt;1,TYPE(MATCH(U111,U112:U$139,0))&gt;1),0,MATCH(U111,U112:U$139,0))+IF(OR(TYPE(U111)&gt;1,TYPE(MATCH(U111,AA$11:AA$139,0))&gt;1),0,MATCH(U111,AA$11:AA$139,0))</f>
        <v>0</v>
      </c>
      <c r="AQ111" s="334">
        <f>IF(OR(TYPE(AA111)&gt;1,TYPE(MATCH(AA111,I$11:I$139,0))&gt;1),0,MATCH(AA111,I$11:I$139,0))+IF(OR(TYPE(AA111)&gt;1,TYPE(MATCH(AA111,O$11:O$139,0))&gt;1),0,MATCH(AA111,O$11:O$139,0))+IF(OR(TYPE(AA111)&gt;1,TYPE(MATCH(AA111,U$11:U$139,0))&gt;1),0,MATCH(U111,U$11:U$139,0))+IF(OR(TYPE(AA111)&gt;1,TYPE(MATCH(AA111,AA112:AA$139,0))&gt;1),0,MATCH(AA111,AA112:AA$139,0))</f>
        <v>0</v>
      </c>
      <c r="AR111" s="334">
        <f t="shared" si="50"/>
        <v>0</v>
      </c>
      <c r="AT111" s="333">
        <f t="shared" si="51"/>
        <v>0</v>
      </c>
      <c r="AU111" s="333">
        <f>IF(AND(N(I111)&gt;0,TYPE(VLOOKUP(I111,Hraci!$A$5:$A$800,1,0))&gt;3),1,0) + IF(AND(N(O111)&gt;0,TYPE(VLOOKUP(O111,Hraci!$A$5:$A$800,1,0))&gt;3),1,0) + IF(AND(N(U111)&gt;0,TYPE(VLOOKUP(U111,Hraci!$A$5:$A$800,1,0))&gt;3),1,0)</f>
        <v>0</v>
      </c>
      <c r="BF111" s="334">
        <f t="shared" si="39"/>
        <v>101</v>
      </c>
    </row>
    <row r="112" spans="1:58" ht="14.25" x14ac:dyDescent="0.3">
      <c r="A112" s="358">
        <f t="shared" si="40"/>
        <v>0</v>
      </c>
      <c r="B112" s="358">
        <f t="shared" si="41"/>
        <v>0</v>
      </c>
      <c r="C112" s="358">
        <f t="shared" si="42"/>
        <v>0</v>
      </c>
      <c r="D112" s="358">
        <f t="shared" si="43"/>
        <v>99999</v>
      </c>
      <c r="E112" s="358">
        <f t="shared" si="44"/>
        <v>9999</v>
      </c>
      <c r="F112" s="359" t="str">
        <f t="shared" ca="1" si="45"/>
        <v>90000000900000990000972551</v>
      </c>
      <c r="G112" s="398" t="b">
        <f t="shared" si="46"/>
        <v>1</v>
      </c>
      <c r="H112" s="399">
        <f t="shared" si="47"/>
        <v>102</v>
      </c>
      <c r="I112" s="400" t="s">
        <v>2005</v>
      </c>
      <c r="J112" s="401" t="s">
        <v>1054</v>
      </c>
      <c r="K112" s="402" t="s">
        <v>1054</v>
      </c>
      <c r="L112" s="402" t="s">
        <v>1054</v>
      </c>
      <c r="M112" s="403">
        <v>9999</v>
      </c>
      <c r="N112" s="404">
        <v>0</v>
      </c>
      <c r="O112" s="400" t="s">
        <v>2005</v>
      </c>
      <c r="P112" s="401" t="s">
        <v>1054</v>
      </c>
      <c r="Q112" s="402" t="s">
        <v>1054</v>
      </c>
      <c r="R112" s="402" t="s">
        <v>1054</v>
      </c>
      <c r="S112" s="403">
        <v>9999</v>
      </c>
      <c r="T112" s="404">
        <v>0</v>
      </c>
      <c r="U112" s="400" t="s">
        <v>2005</v>
      </c>
      <c r="V112" s="401" t="s">
        <v>1054</v>
      </c>
      <c r="W112" s="402" t="s">
        <v>1054</v>
      </c>
      <c r="X112" s="402" t="s">
        <v>1054</v>
      </c>
      <c r="Y112" s="403">
        <v>9999</v>
      </c>
      <c r="Z112" s="404">
        <v>0</v>
      </c>
      <c r="AA112" s="400" t="s">
        <v>2005</v>
      </c>
      <c r="AB112" s="401" t="s">
        <v>1054</v>
      </c>
      <c r="AC112" s="402" t="s">
        <v>1054</v>
      </c>
      <c r="AD112" s="402" t="s">
        <v>1054</v>
      </c>
      <c r="AE112" s="403">
        <v>9999</v>
      </c>
      <c r="AF112" s="404">
        <v>0</v>
      </c>
      <c r="AG112" s="409"/>
      <c r="AH112" s="445">
        <f>IF(TYPE(VLOOKUP(H112,Centrum!$A$3:$E$130,5,0))&lt;4,VLOOKUP(H112,Centrum!$A$3:$E$130,5,0),0)</f>
        <v>0</v>
      </c>
      <c r="AI112" s="405" t="str">
        <f>IF(N($AH112)&gt;0,VLOOKUP($AH112,Body!$A$4:$F$259,5,0),"")</f>
        <v/>
      </c>
      <c r="AJ112" s="406" t="str">
        <f>IF(N($AH112)&gt;0,VLOOKUP($AH112,Body!$A$4:$F$259,6,0),"")</f>
        <v/>
      </c>
      <c r="AK112" s="405" t="str">
        <f>IF(N($AH112)&gt;0,VLOOKUP($AH112,Body!$A$4:$F$259,2,0),"")</f>
        <v/>
      </c>
      <c r="AL112" s="407" t="str">
        <f t="shared" si="48"/>
        <v/>
      </c>
      <c r="AM112" s="408">
        <f t="shared" si="49"/>
        <v>0</v>
      </c>
      <c r="AN112" s="334">
        <f>IF(OR(TYPE(I112)&gt;1,TYPE(MATCH(I112,I113:I$139,0))&gt;1),0,MATCH(I112,I113:I$139,0))+IF(OR(TYPE(I112)&gt;1,TYPE(MATCH(I112,O$11:O$139,0))&gt;1),0,MATCH(I112,O$11:O$139,0))+IF(OR(TYPE(I112)&gt;1,TYPE(MATCH(I112,U$11:U$139,0))&gt;1),0,MATCH(I112,U$11:U$139,0))+IF(OR(TYPE(I112)&gt;1,TYPE(MATCH(I112,AA$11:AA$139,0))&gt;1),0,MATCH(I112,AA$11:AA$139,0))</f>
        <v>0</v>
      </c>
      <c r="AO112" s="334">
        <f>IF(OR(TYPE(O112)&gt;1,TYPE(MATCH(O112,I$11:I$139,0))&gt;1),0,MATCH(O112,I$11:I$139,0))+IF(OR(TYPE(O112)&gt;1,TYPE(MATCH(O112,O113:O$139,0))&gt;1),0,MATCH(O112,O113:O$139,0))+IF(OR(TYPE(O112)&gt;1,TYPE(MATCH(O112,U$11:U$139,0))&gt;1),0,MATCH(O112,U$11:U$139,0))+IF(OR(TYPE(O112)&gt;1,TYPE(MATCH(O112,AA$11:AA$139,0))&gt;1),0,MATCH(O112,AA$11:AA$139,0))</f>
        <v>0</v>
      </c>
      <c r="AP112" s="334">
        <f>IF(OR(TYPE(U112)&gt;1,TYPE(MATCH(U112,I$11:I$139,0))&gt;1),0,MATCH(U112,I$11:I$139,0))+IF(OR(TYPE(U112)&gt;1,TYPE(MATCH(U112,O$11:O$139,0))&gt;1),0,MATCH(U112,O$11:O$139,0))+IF(OR(TYPE(U112)&gt;1,TYPE(MATCH(U112,U113:U$139,0))&gt;1),0,MATCH(U112,U113:U$139,0))+IF(OR(TYPE(U112)&gt;1,TYPE(MATCH(U112,AA$11:AA$139,0))&gt;1),0,MATCH(U112,AA$11:AA$139,0))</f>
        <v>0</v>
      </c>
      <c r="AQ112" s="334">
        <f>IF(OR(TYPE(AA112)&gt;1,TYPE(MATCH(AA112,I$11:I$139,0))&gt;1),0,MATCH(AA112,I$11:I$139,0))+IF(OR(TYPE(AA112)&gt;1,TYPE(MATCH(AA112,O$11:O$139,0))&gt;1),0,MATCH(AA112,O$11:O$139,0))+IF(OR(TYPE(AA112)&gt;1,TYPE(MATCH(AA112,U$11:U$139,0))&gt;1),0,MATCH(U112,U$11:U$139,0))+IF(OR(TYPE(AA112)&gt;1,TYPE(MATCH(AA112,AA113:AA$139,0))&gt;1),0,MATCH(AA112,AA113:AA$139,0))</f>
        <v>0</v>
      </c>
      <c r="AR112" s="334">
        <f t="shared" si="50"/>
        <v>0</v>
      </c>
      <c r="AT112" s="333">
        <f t="shared" si="51"/>
        <v>0</v>
      </c>
      <c r="AU112" s="333">
        <f>IF(AND(N(I112)&gt;0,TYPE(VLOOKUP(I112,Hraci!$A$5:$A$800,1,0))&gt;3),1,0) + IF(AND(N(O112)&gt;0,TYPE(VLOOKUP(O112,Hraci!$A$5:$A$800,1,0))&gt;3),1,0) + IF(AND(N(U112)&gt;0,TYPE(VLOOKUP(U112,Hraci!$A$5:$A$800,1,0))&gt;3),1,0)</f>
        <v>0</v>
      </c>
      <c r="BF112" s="334">
        <f t="shared" si="39"/>
        <v>102</v>
      </c>
    </row>
    <row r="113" spans="1:58" ht="14.25" x14ac:dyDescent="0.3">
      <c r="A113" s="358">
        <f t="shared" si="40"/>
        <v>0</v>
      </c>
      <c r="B113" s="358">
        <f t="shared" si="41"/>
        <v>0</v>
      </c>
      <c r="C113" s="358">
        <f t="shared" si="42"/>
        <v>0</v>
      </c>
      <c r="D113" s="358">
        <f t="shared" si="43"/>
        <v>99999</v>
      </c>
      <c r="E113" s="358">
        <f t="shared" si="44"/>
        <v>9999</v>
      </c>
      <c r="F113" s="359" t="str">
        <f t="shared" ca="1" si="45"/>
        <v>90000000900000990000963055</v>
      </c>
      <c r="G113" s="398" t="b">
        <f t="shared" si="46"/>
        <v>1</v>
      </c>
      <c r="H113" s="399">
        <f t="shared" si="47"/>
        <v>103</v>
      </c>
      <c r="I113" s="400" t="s">
        <v>2005</v>
      </c>
      <c r="J113" s="401" t="s">
        <v>1054</v>
      </c>
      <c r="K113" s="402" t="s">
        <v>1054</v>
      </c>
      <c r="L113" s="402" t="s">
        <v>1054</v>
      </c>
      <c r="M113" s="403">
        <v>9999</v>
      </c>
      <c r="N113" s="404">
        <v>0</v>
      </c>
      <c r="O113" s="400" t="s">
        <v>2005</v>
      </c>
      <c r="P113" s="401" t="s">
        <v>1054</v>
      </c>
      <c r="Q113" s="402" t="s">
        <v>1054</v>
      </c>
      <c r="R113" s="402" t="s">
        <v>1054</v>
      </c>
      <c r="S113" s="403">
        <v>9999</v>
      </c>
      <c r="T113" s="404">
        <v>0</v>
      </c>
      <c r="U113" s="400" t="s">
        <v>2005</v>
      </c>
      <c r="V113" s="401" t="s">
        <v>1054</v>
      </c>
      <c r="W113" s="402" t="s">
        <v>1054</v>
      </c>
      <c r="X113" s="402" t="s">
        <v>1054</v>
      </c>
      <c r="Y113" s="403">
        <v>9999</v>
      </c>
      <c r="Z113" s="404">
        <v>0</v>
      </c>
      <c r="AA113" s="400" t="s">
        <v>2005</v>
      </c>
      <c r="AB113" s="401" t="s">
        <v>1054</v>
      </c>
      <c r="AC113" s="402" t="s">
        <v>1054</v>
      </c>
      <c r="AD113" s="402" t="s">
        <v>1054</v>
      </c>
      <c r="AE113" s="403">
        <v>9999</v>
      </c>
      <c r="AF113" s="404">
        <v>0</v>
      </c>
      <c r="AG113" s="409"/>
      <c r="AH113" s="445">
        <f>IF(TYPE(VLOOKUP(H113,Centrum!$A$3:$E$130,5,0))&lt;4,VLOOKUP(H113,Centrum!$A$3:$E$130,5,0),0)</f>
        <v>0</v>
      </c>
      <c r="AI113" s="405" t="str">
        <f>IF(N($AH113)&gt;0,VLOOKUP($AH113,Body!$A$4:$F$259,5,0),"")</f>
        <v/>
      </c>
      <c r="AJ113" s="406" t="str">
        <f>IF(N($AH113)&gt;0,VLOOKUP($AH113,Body!$A$4:$F$259,6,0),"")</f>
        <v/>
      </c>
      <c r="AK113" s="405" t="str">
        <f>IF(N($AH113)&gt;0,VLOOKUP($AH113,Body!$A$4:$F$259,2,0),"")</f>
        <v/>
      </c>
      <c r="AL113" s="407" t="str">
        <f t="shared" si="48"/>
        <v/>
      </c>
      <c r="AM113" s="408">
        <f t="shared" si="49"/>
        <v>0</v>
      </c>
      <c r="AN113" s="334">
        <f>IF(OR(TYPE(I113)&gt;1,TYPE(MATCH(I113,I114:I$139,0))&gt;1),0,MATCH(I113,I114:I$139,0))+IF(OR(TYPE(I113)&gt;1,TYPE(MATCH(I113,O$11:O$139,0))&gt;1),0,MATCH(I113,O$11:O$139,0))+IF(OR(TYPE(I113)&gt;1,TYPE(MATCH(I113,U$11:U$139,0))&gt;1),0,MATCH(I113,U$11:U$139,0))+IF(OR(TYPE(I113)&gt;1,TYPE(MATCH(I113,AA$11:AA$139,0))&gt;1),0,MATCH(I113,AA$11:AA$139,0))</f>
        <v>0</v>
      </c>
      <c r="AO113" s="334">
        <f>IF(OR(TYPE(O113)&gt;1,TYPE(MATCH(O113,I$11:I$139,0))&gt;1),0,MATCH(O113,I$11:I$139,0))+IF(OR(TYPE(O113)&gt;1,TYPE(MATCH(O113,O114:O$139,0))&gt;1),0,MATCH(O113,O114:O$139,0))+IF(OR(TYPE(O113)&gt;1,TYPE(MATCH(O113,U$11:U$139,0))&gt;1),0,MATCH(O113,U$11:U$139,0))+IF(OR(TYPE(O113)&gt;1,TYPE(MATCH(O113,AA$11:AA$139,0))&gt;1),0,MATCH(O113,AA$11:AA$139,0))</f>
        <v>0</v>
      </c>
      <c r="AP113" s="334">
        <f>IF(OR(TYPE(U113)&gt;1,TYPE(MATCH(U113,I$11:I$139,0))&gt;1),0,MATCH(U113,I$11:I$139,0))+IF(OR(TYPE(U113)&gt;1,TYPE(MATCH(U113,O$11:O$139,0))&gt;1),0,MATCH(U113,O$11:O$139,0))+IF(OR(TYPE(U113)&gt;1,TYPE(MATCH(U113,U114:U$139,0))&gt;1),0,MATCH(U113,U114:U$139,0))+IF(OR(TYPE(U113)&gt;1,TYPE(MATCH(U113,AA$11:AA$139,0))&gt;1),0,MATCH(U113,AA$11:AA$139,0))</f>
        <v>0</v>
      </c>
      <c r="AQ113" s="334">
        <f>IF(OR(TYPE(AA113)&gt;1,TYPE(MATCH(AA113,I$11:I$139,0))&gt;1),0,MATCH(AA113,I$11:I$139,0))+IF(OR(TYPE(AA113)&gt;1,TYPE(MATCH(AA113,O$11:O$139,0))&gt;1),0,MATCH(AA113,O$11:O$139,0))+IF(OR(TYPE(AA113)&gt;1,TYPE(MATCH(AA113,U$11:U$139,0))&gt;1),0,MATCH(U113,U$11:U$139,0))+IF(OR(TYPE(AA113)&gt;1,TYPE(MATCH(AA113,AA114:AA$139,0))&gt;1),0,MATCH(AA113,AA114:AA$139,0))</f>
        <v>0</v>
      </c>
      <c r="AR113" s="334">
        <f t="shared" si="50"/>
        <v>0</v>
      </c>
      <c r="AT113" s="333">
        <f t="shared" si="51"/>
        <v>0</v>
      </c>
      <c r="AU113" s="333">
        <f>IF(AND(N(I113)&gt;0,TYPE(VLOOKUP(I113,Hraci!$A$5:$A$800,1,0))&gt;3),1,0) + IF(AND(N(O113)&gt;0,TYPE(VLOOKUP(O113,Hraci!$A$5:$A$800,1,0))&gt;3),1,0) + IF(AND(N(U113)&gt;0,TYPE(VLOOKUP(U113,Hraci!$A$5:$A$800,1,0))&gt;3),1,0)</f>
        <v>0</v>
      </c>
      <c r="BF113" s="334">
        <f t="shared" si="39"/>
        <v>103</v>
      </c>
    </row>
    <row r="114" spans="1:58" ht="14.25" x14ac:dyDescent="0.3">
      <c r="A114" s="358">
        <f t="shared" si="40"/>
        <v>0</v>
      </c>
      <c r="B114" s="358">
        <f t="shared" si="41"/>
        <v>0</v>
      </c>
      <c r="C114" s="358">
        <f t="shared" si="42"/>
        <v>0</v>
      </c>
      <c r="D114" s="358">
        <f t="shared" si="43"/>
        <v>99999</v>
      </c>
      <c r="E114" s="317">
        <f t="shared" si="44"/>
        <v>9999</v>
      </c>
      <c r="F114" s="359" t="str">
        <f t="shared" ca="1" si="45"/>
        <v>90000000900000990000571685</v>
      </c>
      <c r="G114" s="398" t="b">
        <f t="shared" si="46"/>
        <v>1</v>
      </c>
      <c r="H114" s="399">
        <f t="shared" si="47"/>
        <v>104</v>
      </c>
      <c r="I114" s="400" t="s">
        <v>2005</v>
      </c>
      <c r="J114" s="401" t="s">
        <v>1054</v>
      </c>
      <c r="K114" s="402" t="s">
        <v>1054</v>
      </c>
      <c r="L114" s="402" t="s">
        <v>1054</v>
      </c>
      <c r="M114" s="403">
        <v>9999</v>
      </c>
      <c r="N114" s="404">
        <v>0</v>
      </c>
      <c r="O114" s="400" t="s">
        <v>2005</v>
      </c>
      <c r="P114" s="401" t="s">
        <v>1054</v>
      </c>
      <c r="Q114" s="402" t="s">
        <v>1054</v>
      </c>
      <c r="R114" s="402" t="s">
        <v>1054</v>
      </c>
      <c r="S114" s="403">
        <v>9999</v>
      </c>
      <c r="T114" s="404">
        <v>0</v>
      </c>
      <c r="U114" s="400" t="s">
        <v>2005</v>
      </c>
      <c r="V114" s="401" t="s">
        <v>1054</v>
      </c>
      <c r="W114" s="402" t="s">
        <v>1054</v>
      </c>
      <c r="X114" s="402" t="s">
        <v>1054</v>
      </c>
      <c r="Y114" s="403">
        <v>9999</v>
      </c>
      <c r="Z114" s="404">
        <v>0</v>
      </c>
      <c r="AA114" s="400" t="s">
        <v>2005</v>
      </c>
      <c r="AB114" s="401" t="s">
        <v>1054</v>
      </c>
      <c r="AC114" s="402" t="s">
        <v>1054</v>
      </c>
      <c r="AD114" s="402" t="s">
        <v>1054</v>
      </c>
      <c r="AE114" s="403">
        <v>9999</v>
      </c>
      <c r="AF114" s="404">
        <v>0</v>
      </c>
      <c r="AG114" s="409"/>
      <c r="AH114" s="445">
        <f>IF(TYPE(VLOOKUP(H114,Centrum!$A$3:$E$130,5,0))&lt;4,VLOOKUP(H114,Centrum!$A$3:$E$130,5,0),0)</f>
        <v>0</v>
      </c>
      <c r="AI114" s="405" t="str">
        <f>IF(N($AH114)&gt;0,VLOOKUP($AH114,Body!$A$4:$F$259,5,0),"")</f>
        <v/>
      </c>
      <c r="AJ114" s="406" t="str">
        <f>IF(N($AH114)&gt;0,VLOOKUP($AH114,Body!$A$4:$F$259,6,0),"")</f>
        <v/>
      </c>
      <c r="AK114" s="405" t="str">
        <f>IF(N($AH114)&gt;0,VLOOKUP($AH114,Body!$A$4:$F$259,2,0),"")</f>
        <v/>
      </c>
      <c r="AL114" s="407" t="str">
        <f t="shared" si="48"/>
        <v/>
      </c>
      <c r="AM114" s="408">
        <f t="shared" si="49"/>
        <v>0</v>
      </c>
      <c r="AN114" s="334">
        <f>IF(OR(TYPE(I114)&gt;1,TYPE(MATCH(I114,I115:I$139,0))&gt;1),0,MATCH(I114,I115:I$139,0))+IF(OR(TYPE(I114)&gt;1,TYPE(MATCH(I114,O$11:O$139,0))&gt;1),0,MATCH(I114,O$11:O$139,0))+IF(OR(TYPE(I114)&gt;1,TYPE(MATCH(I114,U$11:U$139,0))&gt;1),0,MATCH(I114,U$11:U$139,0))+IF(OR(TYPE(I114)&gt;1,TYPE(MATCH(I114,AA$11:AA$139,0))&gt;1),0,MATCH(I114,AA$11:AA$139,0))</f>
        <v>0</v>
      </c>
      <c r="AO114" s="334">
        <f>IF(OR(TYPE(O114)&gt;1,TYPE(MATCH(O114,I$11:I$139,0))&gt;1),0,MATCH(O114,I$11:I$139,0))+IF(OR(TYPE(O114)&gt;1,TYPE(MATCH(O114,O115:O$139,0))&gt;1),0,MATCH(O114,O115:O$139,0))+IF(OR(TYPE(O114)&gt;1,TYPE(MATCH(O114,U$11:U$139,0))&gt;1),0,MATCH(O114,U$11:U$139,0))+IF(OR(TYPE(O114)&gt;1,TYPE(MATCH(O114,AA$11:AA$139,0))&gt;1),0,MATCH(O114,AA$11:AA$139,0))</f>
        <v>0</v>
      </c>
      <c r="AP114" s="334">
        <f>IF(OR(TYPE(U114)&gt;1,TYPE(MATCH(U114,I$11:I$139,0))&gt;1),0,MATCH(U114,I$11:I$139,0))+IF(OR(TYPE(U114)&gt;1,TYPE(MATCH(U114,O$11:O$139,0))&gt;1),0,MATCH(U114,O$11:O$139,0))+IF(OR(TYPE(U114)&gt;1,TYPE(MATCH(U114,U115:U$139,0))&gt;1),0,MATCH(U114,U115:U$139,0))+IF(OR(TYPE(U114)&gt;1,TYPE(MATCH(U114,AA$11:AA$139,0))&gt;1),0,MATCH(U114,AA$11:AA$139,0))</f>
        <v>0</v>
      </c>
      <c r="AQ114" s="334">
        <f>IF(OR(TYPE(AA114)&gt;1,TYPE(MATCH(AA114,I$11:I$139,0))&gt;1),0,MATCH(AA114,I$11:I$139,0))+IF(OR(TYPE(AA114)&gt;1,TYPE(MATCH(AA114,O$11:O$139,0))&gt;1),0,MATCH(AA114,O$11:O$139,0))+IF(OR(TYPE(AA114)&gt;1,TYPE(MATCH(AA114,U$11:U$139,0))&gt;1),0,MATCH(U114,U$11:U$139,0))+IF(OR(TYPE(AA114)&gt;1,TYPE(MATCH(AA114,AA115:AA$139,0))&gt;1),0,MATCH(AA114,AA115:AA$139,0))</f>
        <v>0</v>
      </c>
      <c r="AR114" s="334">
        <f t="shared" si="50"/>
        <v>0</v>
      </c>
      <c r="AT114" s="333">
        <f t="shared" si="51"/>
        <v>0</v>
      </c>
      <c r="AU114" s="333">
        <f>IF(AND(N(I114)&gt;0,TYPE(VLOOKUP(I114,Hraci!$A$5:$A$800,1,0))&gt;3),1,0) + IF(AND(N(O114)&gt;0,TYPE(VLOOKUP(O114,Hraci!$A$5:$A$800,1,0))&gt;3),1,0) + IF(AND(N(U114)&gt;0,TYPE(VLOOKUP(U114,Hraci!$A$5:$A$800,1,0))&gt;3),1,0)</f>
        <v>0</v>
      </c>
      <c r="BF114" s="334">
        <f t="shared" si="39"/>
        <v>104</v>
      </c>
    </row>
    <row r="115" spans="1:58" ht="14.25" x14ac:dyDescent="0.3">
      <c r="A115" s="358">
        <f t="shared" si="40"/>
        <v>0</v>
      </c>
      <c r="B115" s="358">
        <f t="shared" si="41"/>
        <v>0</v>
      </c>
      <c r="C115" s="358">
        <f t="shared" si="42"/>
        <v>0</v>
      </c>
      <c r="D115" s="358">
        <f t="shared" si="43"/>
        <v>99999</v>
      </c>
      <c r="E115" s="358">
        <f t="shared" si="44"/>
        <v>9999</v>
      </c>
      <c r="F115" s="359" t="str">
        <f t="shared" ca="1" si="45"/>
        <v>90000000900000990000790748</v>
      </c>
      <c r="G115" s="398" t="b">
        <f t="shared" si="46"/>
        <v>1</v>
      </c>
      <c r="H115" s="399">
        <f t="shared" si="47"/>
        <v>105</v>
      </c>
      <c r="I115" s="400" t="s">
        <v>2005</v>
      </c>
      <c r="J115" s="401" t="s">
        <v>1054</v>
      </c>
      <c r="K115" s="402" t="s">
        <v>1054</v>
      </c>
      <c r="L115" s="402" t="s">
        <v>1054</v>
      </c>
      <c r="M115" s="403">
        <v>9999</v>
      </c>
      <c r="N115" s="404">
        <v>0</v>
      </c>
      <c r="O115" s="400" t="s">
        <v>2005</v>
      </c>
      <c r="P115" s="401" t="s">
        <v>1054</v>
      </c>
      <c r="Q115" s="402" t="s">
        <v>1054</v>
      </c>
      <c r="R115" s="402" t="s">
        <v>1054</v>
      </c>
      <c r="S115" s="403">
        <v>9999</v>
      </c>
      <c r="T115" s="404">
        <v>0</v>
      </c>
      <c r="U115" s="400" t="s">
        <v>2005</v>
      </c>
      <c r="V115" s="401" t="s">
        <v>1054</v>
      </c>
      <c r="W115" s="402" t="s">
        <v>1054</v>
      </c>
      <c r="X115" s="402" t="s">
        <v>1054</v>
      </c>
      <c r="Y115" s="403">
        <v>9999</v>
      </c>
      <c r="Z115" s="404">
        <v>0</v>
      </c>
      <c r="AA115" s="400" t="s">
        <v>2005</v>
      </c>
      <c r="AB115" s="401" t="s">
        <v>1054</v>
      </c>
      <c r="AC115" s="402" t="s">
        <v>1054</v>
      </c>
      <c r="AD115" s="402" t="s">
        <v>1054</v>
      </c>
      <c r="AE115" s="403">
        <v>9999</v>
      </c>
      <c r="AF115" s="404">
        <v>0</v>
      </c>
      <c r="AG115" s="409"/>
      <c r="AH115" s="445">
        <f>IF(TYPE(VLOOKUP(H115,Centrum!$A$3:$E$130,5,0))&lt;4,VLOOKUP(H115,Centrum!$A$3:$E$130,5,0),0)</f>
        <v>0</v>
      </c>
      <c r="AI115" s="405" t="str">
        <f>IF(N($AH115)&gt;0,VLOOKUP($AH115,Body!$A$4:$F$259,5,0),"")</f>
        <v/>
      </c>
      <c r="AJ115" s="406" t="str">
        <f>IF(N($AH115)&gt;0,VLOOKUP($AH115,Body!$A$4:$F$259,6,0),"")</f>
        <v/>
      </c>
      <c r="AK115" s="405" t="str">
        <f>IF(N($AH115)&gt;0,VLOOKUP($AH115,Body!$A$4:$F$259,2,0),"")</f>
        <v/>
      </c>
      <c r="AL115" s="407" t="str">
        <f t="shared" si="48"/>
        <v/>
      </c>
      <c r="AM115" s="408">
        <f t="shared" si="49"/>
        <v>0</v>
      </c>
      <c r="AN115" s="334">
        <f>IF(OR(TYPE(I115)&gt;1,TYPE(MATCH(I115,I116:I$139,0))&gt;1),0,MATCH(I115,I116:I$139,0))+IF(OR(TYPE(I115)&gt;1,TYPE(MATCH(I115,O$11:O$139,0))&gt;1),0,MATCH(I115,O$11:O$139,0))+IF(OR(TYPE(I115)&gt;1,TYPE(MATCH(I115,U$11:U$139,0))&gt;1),0,MATCH(I115,U$11:U$139,0))+IF(OR(TYPE(I115)&gt;1,TYPE(MATCH(I115,AA$11:AA$139,0))&gt;1),0,MATCH(I115,AA$11:AA$139,0))</f>
        <v>0</v>
      </c>
      <c r="AO115" s="334">
        <f>IF(OR(TYPE(O115)&gt;1,TYPE(MATCH(O115,I$11:I$139,0))&gt;1),0,MATCH(O115,I$11:I$139,0))+IF(OR(TYPE(O115)&gt;1,TYPE(MATCH(O115,O116:O$139,0))&gt;1),0,MATCH(O115,O116:O$139,0))+IF(OR(TYPE(O115)&gt;1,TYPE(MATCH(O115,U$11:U$139,0))&gt;1),0,MATCH(O115,U$11:U$139,0))+IF(OR(TYPE(O115)&gt;1,TYPE(MATCH(O115,AA$11:AA$139,0))&gt;1),0,MATCH(O115,AA$11:AA$139,0))</f>
        <v>0</v>
      </c>
      <c r="AP115" s="334">
        <f>IF(OR(TYPE(U115)&gt;1,TYPE(MATCH(U115,I$11:I$139,0))&gt;1),0,MATCH(U115,I$11:I$139,0))+IF(OR(TYPE(U115)&gt;1,TYPE(MATCH(U115,O$11:O$139,0))&gt;1),0,MATCH(U115,O$11:O$139,0))+IF(OR(TYPE(U115)&gt;1,TYPE(MATCH(U115,U116:U$139,0))&gt;1),0,MATCH(U115,U116:U$139,0))+IF(OR(TYPE(U115)&gt;1,TYPE(MATCH(U115,AA$11:AA$139,0))&gt;1),0,MATCH(U115,AA$11:AA$139,0))</f>
        <v>0</v>
      </c>
      <c r="AQ115" s="334">
        <f>IF(OR(TYPE(AA115)&gt;1,TYPE(MATCH(AA115,I$11:I$139,0))&gt;1),0,MATCH(AA115,I$11:I$139,0))+IF(OR(TYPE(AA115)&gt;1,TYPE(MATCH(AA115,O$11:O$139,0))&gt;1),0,MATCH(AA115,O$11:O$139,0))+IF(OR(TYPE(AA115)&gt;1,TYPE(MATCH(AA115,U$11:U$139,0))&gt;1),0,MATCH(U115,U$11:U$139,0))+IF(OR(TYPE(AA115)&gt;1,TYPE(MATCH(AA115,AA116:AA$139,0))&gt;1),0,MATCH(AA115,AA116:AA$139,0))</f>
        <v>0</v>
      </c>
      <c r="AR115" s="334">
        <f t="shared" si="50"/>
        <v>0</v>
      </c>
      <c r="AT115" s="333">
        <f t="shared" si="51"/>
        <v>0</v>
      </c>
      <c r="AU115" s="333">
        <f>IF(AND(N(I115)&gt;0,TYPE(VLOOKUP(I115,Hraci!$A$5:$A$800,1,0))&gt;3),1,0) + IF(AND(N(O115)&gt;0,TYPE(VLOOKUP(O115,Hraci!$A$5:$A$800,1,0))&gt;3),1,0) + IF(AND(N(U115)&gt;0,TYPE(VLOOKUP(U115,Hraci!$A$5:$A$800,1,0))&gt;3),1,0)</f>
        <v>0</v>
      </c>
      <c r="BF115" s="334">
        <f t="shared" si="39"/>
        <v>105</v>
      </c>
    </row>
    <row r="116" spans="1:58" ht="14.25" x14ac:dyDescent="0.3">
      <c r="A116" s="358">
        <f t="shared" si="40"/>
        <v>0</v>
      </c>
      <c r="B116" s="358">
        <f t="shared" si="41"/>
        <v>0</v>
      </c>
      <c r="C116" s="358">
        <f t="shared" si="42"/>
        <v>0</v>
      </c>
      <c r="D116" s="358">
        <f t="shared" si="43"/>
        <v>99999</v>
      </c>
      <c r="E116" s="358">
        <f t="shared" si="44"/>
        <v>9999</v>
      </c>
      <c r="F116" s="359" t="str">
        <f t="shared" ca="1" si="45"/>
        <v>90000000900000990000822295</v>
      </c>
      <c r="G116" s="398" t="b">
        <f t="shared" si="46"/>
        <v>1</v>
      </c>
      <c r="H116" s="399">
        <f t="shared" si="47"/>
        <v>106</v>
      </c>
      <c r="I116" s="400" t="s">
        <v>2005</v>
      </c>
      <c r="J116" s="401" t="s">
        <v>1054</v>
      </c>
      <c r="K116" s="402" t="s">
        <v>1054</v>
      </c>
      <c r="L116" s="402" t="s">
        <v>1054</v>
      </c>
      <c r="M116" s="403">
        <v>9999</v>
      </c>
      <c r="N116" s="404">
        <v>0</v>
      </c>
      <c r="O116" s="400" t="s">
        <v>2005</v>
      </c>
      <c r="P116" s="401" t="s">
        <v>1054</v>
      </c>
      <c r="Q116" s="402" t="s">
        <v>1054</v>
      </c>
      <c r="R116" s="402" t="s">
        <v>1054</v>
      </c>
      <c r="S116" s="403">
        <v>9999</v>
      </c>
      <c r="T116" s="404">
        <v>0</v>
      </c>
      <c r="U116" s="400" t="s">
        <v>2005</v>
      </c>
      <c r="V116" s="401" t="s">
        <v>1054</v>
      </c>
      <c r="W116" s="402" t="s">
        <v>1054</v>
      </c>
      <c r="X116" s="402" t="s">
        <v>1054</v>
      </c>
      <c r="Y116" s="403">
        <v>9999</v>
      </c>
      <c r="Z116" s="404">
        <v>0</v>
      </c>
      <c r="AA116" s="400" t="s">
        <v>2005</v>
      </c>
      <c r="AB116" s="401" t="s">
        <v>1054</v>
      </c>
      <c r="AC116" s="402" t="s">
        <v>1054</v>
      </c>
      <c r="AD116" s="402" t="s">
        <v>1054</v>
      </c>
      <c r="AE116" s="403">
        <v>9999</v>
      </c>
      <c r="AF116" s="404">
        <v>0</v>
      </c>
      <c r="AG116" s="409"/>
      <c r="AH116" s="445">
        <f>IF(TYPE(VLOOKUP(H116,Centrum!$A$3:$E$130,5,0))&lt;4,VLOOKUP(H116,Centrum!$A$3:$E$130,5,0),0)</f>
        <v>0</v>
      </c>
      <c r="AI116" s="405" t="str">
        <f>IF(N($AH116)&gt;0,VLOOKUP($AH116,Body!$A$4:$F$259,5,0),"")</f>
        <v/>
      </c>
      <c r="AJ116" s="406" t="str">
        <f>IF(N($AH116)&gt;0,VLOOKUP($AH116,Body!$A$4:$F$259,6,0),"")</f>
        <v/>
      </c>
      <c r="AK116" s="405" t="str">
        <f>IF(N($AH116)&gt;0,VLOOKUP($AH116,Body!$A$4:$F$259,2,0),"")</f>
        <v/>
      </c>
      <c r="AL116" s="407" t="str">
        <f t="shared" si="48"/>
        <v/>
      </c>
      <c r="AM116" s="408">
        <f t="shared" si="49"/>
        <v>0</v>
      </c>
      <c r="AN116" s="334">
        <f>IF(OR(TYPE(I116)&gt;1,TYPE(MATCH(I116,I117:I$139,0))&gt;1),0,MATCH(I116,I117:I$139,0))+IF(OR(TYPE(I116)&gt;1,TYPE(MATCH(I116,O$11:O$139,0))&gt;1),0,MATCH(I116,O$11:O$139,0))+IF(OR(TYPE(I116)&gt;1,TYPE(MATCH(I116,U$11:U$139,0))&gt;1),0,MATCH(I116,U$11:U$139,0))+IF(OR(TYPE(I116)&gt;1,TYPE(MATCH(I116,AA$11:AA$139,0))&gt;1),0,MATCH(I116,AA$11:AA$139,0))</f>
        <v>0</v>
      </c>
      <c r="AO116" s="334">
        <f>IF(OR(TYPE(O116)&gt;1,TYPE(MATCH(O116,I$11:I$139,0))&gt;1),0,MATCH(O116,I$11:I$139,0))+IF(OR(TYPE(O116)&gt;1,TYPE(MATCH(O116,O117:O$139,0))&gt;1),0,MATCH(O116,O117:O$139,0))+IF(OR(TYPE(O116)&gt;1,TYPE(MATCH(O116,U$11:U$139,0))&gt;1),0,MATCH(O116,U$11:U$139,0))+IF(OR(TYPE(O116)&gt;1,TYPE(MATCH(O116,AA$11:AA$139,0))&gt;1),0,MATCH(O116,AA$11:AA$139,0))</f>
        <v>0</v>
      </c>
      <c r="AP116" s="334">
        <f>IF(OR(TYPE(U116)&gt;1,TYPE(MATCH(U116,I$11:I$139,0))&gt;1),0,MATCH(U116,I$11:I$139,0))+IF(OR(TYPE(U116)&gt;1,TYPE(MATCH(U116,O$11:O$139,0))&gt;1),0,MATCH(U116,O$11:O$139,0))+IF(OR(TYPE(U116)&gt;1,TYPE(MATCH(U116,U117:U$139,0))&gt;1),0,MATCH(U116,U117:U$139,0))+IF(OR(TYPE(U116)&gt;1,TYPE(MATCH(U116,AA$11:AA$139,0))&gt;1),0,MATCH(U116,AA$11:AA$139,0))</f>
        <v>0</v>
      </c>
      <c r="AQ116" s="334">
        <f>IF(OR(TYPE(AA116)&gt;1,TYPE(MATCH(AA116,I$11:I$139,0))&gt;1),0,MATCH(AA116,I$11:I$139,0))+IF(OR(TYPE(AA116)&gt;1,TYPE(MATCH(AA116,O$11:O$139,0))&gt;1),0,MATCH(AA116,O$11:O$139,0))+IF(OR(TYPE(AA116)&gt;1,TYPE(MATCH(AA116,U$11:U$139,0))&gt;1),0,MATCH(U116,U$11:U$139,0))+IF(OR(TYPE(AA116)&gt;1,TYPE(MATCH(AA116,AA117:AA$139,0))&gt;1),0,MATCH(AA116,AA117:AA$139,0))</f>
        <v>0</v>
      </c>
      <c r="AR116" s="334">
        <f t="shared" si="50"/>
        <v>0</v>
      </c>
      <c r="AT116" s="333">
        <f t="shared" si="51"/>
        <v>0</v>
      </c>
      <c r="AU116" s="333">
        <f>IF(AND(N(I116)&gt;0,TYPE(VLOOKUP(I116,Hraci!$A$5:$A$800,1,0))&gt;3),1,0) + IF(AND(N(O116)&gt;0,TYPE(VLOOKUP(O116,Hraci!$A$5:$A$800,1,0))&gt;3),1,0) + IF(AND(N(U116)&gt;0,TYPE(VLOOKUP(U116,Hraci!$A$5:$A$800,1,0))&gt;3),1,0)</f>
        <v>0</v>
      </c>
      <c r="BF116" s="334">
        <f t="shared" si="39"/>
        <v>106</v>
      </c>
    </row>
    <row r="117" spans="1:58" ht="14.25" x14ac:dyDescent="0.3">
      <c r="A117" s="358">
        <f t="shared" si="40"/>
        <v>0</v>
      </c>
      <c r="B117" s="358">
        <f t="shared" si="41"/>
        <v>0</v>
      </c>
      <c r="C117" s="358">
        <f t="shared" si="42"/>
        <v>0</v>
      </c>
      <c r="D117" s="358">
        <f t="shared" si="43"/>
        <v>99999</v>
      </c>
      <c r="E117" s="358">
        <f t="shared" si="44"/>
        <v>9999</v>
      </c>
      <c r="F117" s="359" t="str">
        <f t="shared" ca="1" si="45"/>
        <v>90000000900000990000628493</v>
      </c>
      <c r="G117" s="398" t="b">
        <f t="shared" si="46"/>
        <v>1</v>
      </c>
      <c r="H117" s="399">
        <f t="shared" si="47"/>
        <v>107</v>
      </c>
      <c r="I117" s="400" t="s">
        <v>2005</v>
      </c>
      <c r="J117" s="401" t="s">
        <v>1054</v>
      </c>
      <c r="K117" s="402" t="s">
        <v>1054</v>
      </c>
      <c r="L117" s="402" t="s">
        <v>1054</v>
      </c>
      <c r="M117" s="403">
        <v>9999</v>
      </c>
      <c r="N117" s="404">
        <v>0</v>
      </c>
      <c r="O117" s="400" t="s">
        <v>2005</v>
      </c>
      <c r="P117" s="401" t="s">
        <v>1054</v>
      </c>
      <c r="Q117" s="402" t="s">
        <v>1054</v>
      </c>
      <c r="R117" s="402" t="s">
        <v>1054</v>
      </c>
      <c r="S117" s="403">
        <v>9999</v>
      </c>
      <c r="T117" s="404">
        <v>0</v>
      </c>
      <c r="U117" s="400" t="s">
        <v>2005</v>
      </c>
      <c r="V117" s="401" t="s">
        <v>1054</v>
      </c>
      <c r="W117" s="402" t="s">
        <v>1054</v>
      </c>
      <c r="X117" s="402" t="s">
        <v>1054</v>
      </c>
      <c r="Y117" s="403">
        <v>9999</v>
      </c>
      <c r="Z117" s="404">
        <v>0</v>
      </c>
      <c r="AA117" s="400" t="s">
        <v>2005</v>
      </c>
      <c r="AB117" s="401" t="s">
        <v>1054</v>
      </c>
      <c r="AC117" s="402" t="s">
        <v>1054</v>
      </c>
      <c r="AD117" s="402" t="s">
        <v>1054</v>
      </c>
      <c r="AE117" s="403">
        <v>9999</v>
      </c>
      <c r="AF117" s="404">
        <v>0</v>
      </c>
      <c r="AG117" s="409"/>
      <c r="AH117" s="445">
        <f>IF(TYPE(VLOOKUP(H117,Centrum!$A$3:$E$130,5,0))&lt;4,VLOOKUP(H117,Centrum!$A$3:$E$130,5,0),0)</f>
        <v>0</v>
      </c>
      <c r="AI117" s="405" t="str">
        <f>IF(N($AH117)&gt;0,VLOOKUP($AH117,Body!$A$4:$F$259,5,0),"")</f>
        <v/>
      </c>
      <c r="AJ117" s="406" t="str">
        <f>IF(N($AH117)&gt;0,VLOOKUP($AH117,Body!$A$4:$F$259,6,0),"")</f>
        <v/>
      </c>
      <c r="AK117" s="405" t="str">
        <f>IF(N($AH117)&gt;0,VLOOKUP($AH117,Body!$A$4:$F$259,2,0),"")</f>
        <v/>
      </c>
      <c r="AL117" s="407" t="str">
        <f t="shared" si="48"/>
        <v/>
      </c>
      <c r="AM117" s="408">
        <f t="shared" si="49"/>
        <v>0</v>
      </c>
      <c r="AN117" s="334">
        <f>IF(OR(TYPE(I117)&gt;1,TYPE(MATCH(I117,I118:I$139,0))&gt;1),0,MATCH(I117,I118:I$139,0))+IF(OR(TYPE(I117)&gt;1,TYPE(MATCH(I117,O$11:O$139,0))&gt;1),0,MATCH(I117,O$11:O$139,0))+IF(OR(TYPE(I117)&gt;1,TYPE(MATCH(I117,U$11:U$139,0))&gt;1),0,MATCH(I117,U$11:U$139,0))+IF(OR(TYPE(I117)&gt;1,TYPE(MATCH(I117,AA$11:AA$139,0))&gt;1),0,MATCH(I117,AA$11:AA$139,0))</f>
        <v>0</v>
      </c>
      <c r="AO117" s="334">
        <f>IF(OR(TYPE(O117)&gt;1,TYPE(MATCH(O117,I$11:I$139,0))&gt;1),0,MATCH(O117,I$11:I$139,0))+IF(OR(TYPE(O117)&gt;1,TYPE(MATCH(O117,O118:O$139,0))&gt;1),0,MATCH(O117,O118:O$139,0))+IF(OR(TYPE(O117)&gt;1,TYPE(MATCH(O117,U$11:U$139,0))&gt;1),0,MATCH(O117,U$11:U$139,0))+IF(OR(TYPE(O117)&gt;1,TYPE(MATCH(O117,AA$11:AA$139,0))&gt;1),0,MATCH(O117,AA$11:AA$139,0))</f>
        <v>0</v>
      </c>
      <c r="AP117" s="334">
        <f>IF(OR(TYPE(U117)&gt;1,TYPE(MATCH(U117,I$11:I$139,0))&gt;1),0,MATCH(U117,I$11:I$139,0))+IF(OR(TYPE(U117)&gt;1,TYPE(MATCH(U117,O$11:O$139,0))&gt;1),0,MATCH(U117,O$11:O$139,0))+IF(OR(TYPE(U117)&gt;1,TYPE(MATCH(U117,U118:U$139,0))&gt;1),0,MATCH(U117,U118:U$139,0))+IF(OR(TYPE(U117)&gt;1,TYPE(MATCH(U117,AA$11:AA$139,0))&gt;1),0,MATCH(U117,AA$11:AA$139,0))</f>
        <v>0</v>
      </c>
      <c r="AQ117" s="334">
        <f>IF(OR(TYPE(AA117)&gt;1,TYPE(MATCH(AA117,I$11:I$139,0))&gt;1),0,MATCH(AA117,I$11:I$139,0))+IF(OR(TYPE(AA117)&gt;1,TYPE(MATCH(AA117,O$11:O$139,0))&gt;1),0,MATCH(AA117,O$11:O$139,0))+IF(OR(TYPE(AA117)&gt;1,TYPE(MATCH(AA117,U$11:U$139,0))&gt;1),0,MATCH(U117,U$11:U$139,0))+IF(OR(TYPE(AA117)&gt;1,TYPE(MATCH(AA117,AA118:AA$139,0))&gt;1),0,MATCH(AA117,AA118:AA$139,0))</f>
        <v>0</v>
      </c>
      <c r="AR117" s="334">
        <f t="shared" si="50"/>
        <v>0</v>
      </c>
      <c r="AT117" s="333">
        <f t="shared" si="51"/>
        <v>0</v>
      </c>
      <c r="AU117" s="333">
        <f>IF(AND(N(I117)&gt;0,TYPE(VLOOKUP(I117,Hraci!$A$5:$A$800,1,0))&gt;3),1,0) + IF(AND(N(O117)&gt;0,TYPE(VLOOKUP(O117,Hraci!$A$5:$A$800,1,0))&gt;3),1,0) + IF(AND(N(U117)&gt;0,TYPE(VLOOKUP(U117,Hraci!$A$5:$A$800,1,0))&gt;3),1,0)</f>
        <v>0</v>
      </c>
      <c r="BF117" s="334">
        <f t="shared" si="39"/>
        <v>107</v>
      </c>
    </row>
    <row r="118" spans="1:58" ht="14.25" x14ac:dyDescent="0.3">
      <c r="A118" s="358">
        <f t="shared" si="40"/>
        <v>0</v>
      </c>
      <c r="B118" s="358">
        <f t="shared" si="41"/>
        <v>0</v>
      </c>
      <c r="C118" s="358">
        <f t="shared" si="42"/>
        <v>0</v>
      </c>
      <c r="D118" s="358">
        <f t="shared" si="43"/>
        <v>99999</v>
      </c>
      <c r="E118" s="358">
        <f t="shared" si="44"/>
        <v>9999</v>
      </c>
      <c r="F118" s="359" t="str">
        <f t="shared" ca="1" si="45"/>
        <v>90000000900000990000048722</v>
      </c>
      <c r="G118" s="398" t="b">
        <f t="shared" si="46"/>
        <v>1</v>
      </c>
      <c r="H118" s="399">
        <f t="shared" si="47"/>
        <v>108</v>
      </c>
      <c r="I118" s="400" t="s">
        <v>2005</v>
      </c>
      <c r="J118" s="401" t="s">
        <v>1054</v>
      </c>
      <c r="K118" s="402" t="s">
        <v>1054</v>
      </c>
      <c r="L118" s="402" t="s">
        <v>1054</v>
      </c>
      <c r="M118" s="403">
        <v>9999</v>
      </c>
      <c r="N118" s="404">
        <v>0</v>
      </c>
      <c r="O118" s="400" t="s">
        <v>2005</v>
      </c>
      <c r="P118" s="401" t="s">
        <v>1054</v>
      </c>
      <c r="Q118" s="402" t="s">
        <v>1054</v>
      </c>
      <c r="R118" s="402" t="s">
        <v>1054</v>
      </c>
      <c r="S118" s="403">
        <v>9999</v>
      </c>
      <c r="T118" s="404">
        <v>0</v>
      </c>
      <c r="U118" s="400" t="s">
        <v>2005</v>
      </c>
      <c r="V118" s="401" t="s">
        <v>1054</v>
      </c>
      <c r="W118" s="402" t="s">
        <v>1054</v>
      </c>
      <c r="X118" s="402" t="s">
        <v>1054</v>
      </c>
      <c r="Y118" s="403">
        <v>9999</v>
      </c>
      <c r="Z118" s="404">
        <v>0</v>
      </c>
      <c r="AA118" s="400" t="s">
        <v>2005</v>
      </c>
      <c r="AB118" s="401" t="s">
        <v>1054</v>
      </c>
      <c r="AC118" s="402" t="s">
        <v>1054</v>
      </c>
      <c r="AD118" s="402" t="s">
        <v>1054</v>
      </c>
      <c r="AE118" s="403">
        <v>9999</v>
      </c>
      <c r="AF118" s="404">
        <v>0</v>
      </c>
      <c r="AG118" s="409"/>
      <c r="AH118" s="445">
        <f>IF(TYPE(VLOOKUP(H118,Centrum!$A$3:$E$130,5,0))&lt;4,VLOOKUP(H118,Centrum!$A$3:$E$130,5,0),0)</f>
        <v>0</v>
      </c>
      <c r="AI118" s="405" t="str">
        <f>IF(N($AH118)&gt;0,VLOOKUP($AH118,Body!$A$4:$F$259,5,0),"")</f>
        <v/>
      </c>
      <c r="AJ118" s="406" t="str">
        <f>IF(N($AH118)&gt;0,VLOOKUP($AH118,Body!$A$4:$F$259,6,0),"")</f>
        <v/>
      </c>
      <c r="AK118" s="405" t="str">
        <f>IF(N($AH118)&gt;0,VLOOKUP($AH118,Body!$A$4:$F$259,2,0),"")</f>
        <v/>
      </c>
      <c r="AL118" s="407" t="str">
        <f t="shared" si="48"/>
        <v/>
      </c>
      <c r="AM118" s="408">
        <f t="shared" si="49"/>
        <v>0</v>
      </c>
      <c r="AN118" s="334">
        <f>IF(OR(TYPE(I118)&gt;1,TYPE(MATCH(I118,I119:I$139,0))&gt;1),0,MATCH(I118,I119:I$139,0))+IF(OR(TYPE(I118)&gt;1,TYPE(MATCH(I118,O$11:O$139,0))&gt;1),0,MATCH(I118,O$11:O$139,0))+IF(OR(TYPE(I118)&gt;1,TYPE(MATCH(I118,U$11:U$139,0))&gt;1),0,MATCH(I118,U$11:U$139,0))+IF(OR(TYPE(I118)&gt;1,TYPE(MATCH(I118,AA$11:AA$139,0))&gt;1),0,MATCH(I118,AA$11:AA$139,0))</f>
        <v>0</v>
      </c>
      <c r="AO118" s="334">
        <f>IF(OR(TYPE(O118)&gt;1,TYPE(MATCH(O118,I$11:I$139,0))&gt;1),0,MATCH(O118,I$11:I$139,0))+IF(OR(TYPE(O118)&gt;1,TYPE(MATCH(O118,O119:O$139,0))&gt;1),0,MATCH(O118,O119:O$139,0))+IF(OR(TYPE(O118)&gt;1,TYPE(MATCH(O118,U$11:U$139,0))&gt;1),0,MATCH(O118,U$11:U$139,0))+IF(OR(TYPE(O118)&gt;1,TYPE(MATCH(O118,AA$11:AA$139,0))&gt;1),0,MATCH(O118,AA$11:AA$139,0))</f>
        <v>0</v>
      </c>
      <c r="AP118" s="334">
        <f>IF(OR(TYPE(U118)&gt;1,TYPE(MATCH(U118,I$11:I$139,0))&gt;1),0,MATCH(U118,I$11:I$139,0))+IF(OR(TYPE(U118)&gt;1,TYPE(MATCH(U118,O$11:O$139,0))&gt;1),0,MATCH(U118,O$11:O$139,0))+IF(OR(TYPE(U118)&gt;1,TYPE(MATCH(U118,U119:U$139,0))&gt;1),0,MATCH(U118,U119:U$139,0))+IF(OR(TYPE(U118)&gt;1,TYPE(MATCH(U118,AA$11:AA$139,0))&gt;1),0,MATCH(U118,AA$11:AA$139,0))</f>
        <v>0</v>
      </c>
      <c r="AQ118" s="334">
        <f>IF(OR(TYPE(AA118)&gt;1,TYPE(MATCH(AA118,I$11:I$139,0))&gt;1),0,MATCH(AA118,I$11:I$139,0))+IF(OR(TYPE(AA118)&gt;1,TYPE(MATCH(AA118,O$11:O$139,0))&gt;1),0,MATCH(AA118,O$11:O$139,0))+IF(OR(TYPE(AA118)&gt;1,TYPE(MATCH(AA118,U$11:U$139,0))&gt;1),0,MATCH(U118,U$11:U$139,0))+IF(OR(TYPE(AA118)&gt;1,TYPE(MATCH(AA118,AA119:AA$139,0))&gt;1),0,MATCH(AA118,AA119:AA$139,0))</f>
        <v>0</v>
      </c>
      <c r="AR118" s="334">
        <f t="shared" si="50"/>
        <v>0</v>
      </c>
      <c r="AT118" s="333">
        <f t="shared" si="51"/>
        <v>0</v>
      </c>
      <c r="AU118" s="333">
        <f>IF(AND(N(I118)&gt;0,TYPE(VLOOKUP(I118,Hraci!$A$5:$A$800,1,0))&gt;3),1,0) + IF(AND(N(O118)&gt;0,TYPE(VLOOKUP(O118,Hraci!$A$5:$A$800,1,0))&gt;3),1,0) + IF(AND(N(U118)&gt;0,TYPE(VLOOKUP(U118,Hraci!$A$5:$A$800,1,0))&gt;3),1,0)</f>
        <v>0</v>
      </c>
      <c r="BF118" s="334">
        <f t="shared" si="39"/>
        <v>108</v>
      </c>
    </row>
    <row r="119" spans="1:58" ht="14.25" x14ac:dyDescent="0.3">
      <c r="A119" s="358">
        <f t="shared" si="40"/>
        <v>0</v>
      </c>
      <c r="B119" s="358">
        <f t="shared" si="41"/>
        <v>0</v>
      </c>
      <c r="C119" s="358">
        <f t="shared" si="42"/>
        <v>0</v>
      </c>
      <c r="D119" s="358">
        <f t="shared" si="43"/>
        <v>99999</v>
      </c>
      <c r="E119" s="358">
        <f t="shared" si="44"/>
        <v>9999</v>
      </c>
      <c r="F119" s="359" t="str">
        <f t="shared" ca="1" si="45"/>
        <v>90000000900000990000540559</v>
      </c>
      <c r="G119" s="398" t="b">
        <f t="shared" si="46"/>
        <v>1</v>
      </c>
      <c r="H119" s="399">
        <f t="shared" si="47"/>
        <v>109</v>
      </c>
      <c r="I119" s="400" t="s">
        <v>2005</v>
      </c>
      <c r="J119" s="401" t="s">
        <v>1054</v>
      </c>
      <c r="K119" s="402" t="s">
        <v>1054</v>
      </c>
      <c r="L119" s="402" t="s">
        <v>1054</v>
      </c>
      <c r="M119" s="403">
        <v>9999</v>
      </c>
      <c r="N119" s="404">
        <v>0</v>
      </c>
      <c r="O119" s="400" t="s">
        <v>2005</v>
      </c>
      <c r="P119" s="401" t="s">
        <v>1054</v>
      </c>
      <c r="Q119" s="402" t="s">
        <v>1054</v>
      </c>
      <c r="R119" s="402" t="s">
        <v>1054</v>
      </c>
      <c r="S119" s="403">
        <v>9999</v>
      </c>
      <c r="T119" s="404">
        <v>0</v>
      </c>
      <c r="U119" s="400" t="s">
        <v>2005</v>
      </c>
      <c r="V119" s="401" t="s">
        <v>1054</v>
      </c>
      <c r="W119" s="402" t="s">
        <v>1054</v>
      </c>
      <c r="X119" s="402" t="s">
        <v>1054</v>
      </c>
      <c r="Y119" s="403">
        <v>9999</v>
      </c>
      <c r="Z119" s="404">
        <v>0</v>
      </c>
      <c r="AA119" s="400" t="s">
        <v>2005</v>
      </c>
      <c r="AB119" s="401" t="s">
        <v>1054</v>
      </c>
      <c r="AC119" s="402" t="s">
        <v>1054</v>
      </c>
      <c r="AD119" s="402" t="s">
        <v>1054</v>
      </c>
      <c r="AE119" s="403">
        <v>9999</v>
      </c>
      <c r="AF119" s="404">
        <v>0</v>
      </c>
      <c r="AG119" s="409"/>
      <c r="AH119" s="445">
        <f>IF(TYPE(VLOOKUP(H119,Centrum!$A$3:$E$130,5,0))&lt;4,VLOOKUP(H119,Centrum!$A$3:$E$130,5,0),0)</f>
        <v>0</v>
      </c>
      <c r="AI119" s="405" t="str">
        <f>IF(N($AH119)&gt;0,VLOOKUP($AH119,Body!$A$4:$F$259,5,0),"")</f>
        <v/>
      </c>
      <c r="AJ119" s="406" t="str">
        <f>IF(N($AH119)&gt;0,VLOOKUP($AH119,Body!$A$4:$F$259,6,0),"")</f>
        <v/>
      </c>
      <c r="AK119" s="405" t="str">
        <f>IF(N($AH119)&gt;0,VLOOKUP($AH119,Body!$A$4:$F$259,2,0),"")</f>
        <v/>
      </c>
      <c r="AL119" s="407" t="str">
        <f t="shared" si="48"/>
        <v/>
      </c>
      <c r="AM119" s="408">
        <f t="shared" si="49"/>
        <v>0</v>
      </c>
      <c r="AN119" s="334">
        <f>IF(OR(TYPE(I119)&gt;1,TYPE(MATCH(I119,I120:I$139,0))&gt;1),0,MATCH(I119,I120:I$139,0))+IF(OR(TYPE(I119)&gt;1,TYPE(MATCH(I119,O$11:O$139,0))&gt;1),0,MATCH(I119,O$11:O$139,0))+IF(OR(TYPE(I119)&gt;1,TYPE(MATCH(I119,U$11:U$139,0))&gt;1),0,MATCH(I119,U$11:U$139,0))+IF(OR(TYPE(I119)&gt;1,TYPE(MATCH(I119,AA$11:AA$139,0))&gt;1),0,MATCH(I119,AA$11:AA$139,0))</f>
        <v>0</v>
      </c>
      <c r="AO119" s="334">
        <f>IF(OR(TYPE(O119)&gt;1,TYPE(MATCH(O119,I$11:I$139,0))&gt;1),0,MATCH(O119,I$11:I$139,0))+IF(OR(TYPE(O119)&gt;1,TYPE(MATCH(O119,O120:O$139,0))&gt;1),0,MATCH(O119,O120:O$139,0))+IF(OR(TYPE(O119)&gt;1,TYPE(MATCH(O119,U$11:U$139,0))&gt;1),0,MATCH(O119,U$11:U$139,0))+IF(OR(TYPE(O119)&gt;1,TYPE(MATCH(O119,AA$11:AA$139,0))&gt;1),0,MATCH(O119,AA$11:AA$139,0))</f>
        <v>0</v>
      </c>
      <c r="AP119" s="334">
        <f>IF(OR(TYPE(U119)&gt;1,TYPE(MATCH(U119,I$11:I$139,0))&gt;1),0,MATCH(U119,I$11:I$139,0))+IF(OR(TYPE(U119)&gt;1,TYPE(MATCH(U119,O$11:O$139,0))&gt;1),0,MATCH(U119,O$11:O$139,0))+IF(OR(TYPE(U119)&gt;1,TYPE(MATCH(U119,U120:U$139,0))&gt;1),0,MATCH(U119,U120:U$139,0))+IF(OR(TYPE(U119)&gt;1,TYPE(MATCH(U119,AA$11:AA$139,0))&gt;1),0,MATCH(U119,AA$11:AA$139,0))</f>
        <v>0</v>
      </c>
      <c r="AQ119" s="334">
        <f>IF(OR(TYPE(AA119)&gt;1,TYPE(MATCH(AA119,I$11:I$139,0))&gt;1),0,MATCH(AA119,I$11:I$139,0))+IF(OR(TYPE(AA119)&gt;1,TYPE(MATCH(AA119,O$11:O$139,0))&gt;1),0,MATCH(AA119,O$11:O$139,0))+IF(OR(TYPE(AA119)&gt;1,TYPE(MATCH(AA119,U$11:U$139,0))&gt;1),0,MATCH(U119,U$11:U$139,0))+IF(OR(TYPE(AA119)&gt;1,TYPE(MATCH(AA119,AA120:AA$139,0))&gt;1),0,MATCH(AA119,AA120:AA$139,0))</f>
        <v>0</v>
      </c>
      <c r="AR119" s="334">
        <f t="shared" si="50"/>
        <v>0</v>
      </c>
      <c r="AT119" s="333">
        <f t="shared" si="51"/>
        <v>0</v>
      </c>
      <c r="AU119" s="333">
        <f>IF(AND(N(I119)&gt;0,TYPE(VLOOKUP(I119,Hraci!$A$5:$A$800,1,0))&gt;3),1,0) + IF(AND(N(O119)&gt;0,TYPE(VLOOKUP(O119,Hraci!$A$5:$A$800,1,0))&gt;3),1,0) + IF(AND(N(U119)&gt;0,TYPE(VLOOKUP(U119,Hraci!$A$5:$A$800,1,0))&gt;3),1,0)</f>
        <v>0</v>
      </c>
      <c r="BF119" s="334">
        <f t="shared" si="39"/>
        <v>109</v>
      </c>
    </row>
    <row r="120" spans="1:58" ht="14.25" x14ac:dyDescent="0.3">
      <c r="A120" s="358">
        <f t="shared" si="40"/>
        <v>0</v>
      </c>
      <c r="B120" s="358">
        <f t="shared" si="41"/>
        <v>0</v>
      </c>
      <c r="C120" s="358">
        <f t="shared" si="42"/>
        <v>0</v>
      </c>
      <c r="D120" s="358">
        <f t="shared" si="43"/>
        <v>99999</v>
      </c>
      <c r="E120" s="358">
        <f t="shared" si="44"/>
        <v>9999</v>
      </c>
      <c r="F120" s="359" t="str">
        <f t="shared" ca="1" si="45"/>
        <v>90000000900000990000424456</v>
      </c>
      <c r="G120" s="398" t="b">
        <f t="shared" si="46"/>
        <v>1</v>
      </c>
      <c r="H120" s="399">
        <f t="shared" si="47"/>
        <v>110</v>
      </c>
      <c r="I120" s="400" t="s">
        <v>2005</v>
      </c>
      <c r="J120" s="401" t="s">
        <v>1054</v>
      </c>
      <c r="K120" s="402" t="s">
        <v>1054</v>
      </c>
      <c r="L120" s="402" t="s">
        <v>1054</v>
      </c>
      <c r="M120" s="403">
        <v>9999</v>
      </c>
      <c r="N120" s="404">
        <v>0</v>
      </c>
      <c r="O120" s="400" t="s">
        <v>2005</v>
      </c>
      <c r="P120" s="401" t="s">
        <v>1054</v>
      </c>
      <c r="Q120" s="402" t="s">
        <v>1054</v>
      </c>
      <c r="R120" s="402" t="s">
        <v>1054</v>
      </c>
      <c r="S120" s="403">
        <v>9999</v>
      </c>
      <c r="T120" s="404">
        <v>0</v>
      </c>
      <c r="U120" s="400" t="s">
        <v>2005</v>
      </c>
      <c r="V120" s="401" t="s">
        <v>1054</v>
      </c>
      <c r="W120" s="402" t="s">
        <v>1054</v>
      </c>
      <c r="X120" s="402" t="s">
        <v>1054</v>
      </c>
      <c r="Y120" s="403">
        <v>9999</v>
      </c>
      <c r="Z120" s="404">
        <v>0</v>
      </c>
      <c r="AA120" s="400" t="s">
        <v>2005</v>
      </c>
      <c r="AB120" s="401" t="s">
        <v>1054</v>
      </c>
      <c r="AC120" s="402" t="s">
        <v>1054</v>
      </c>
      <c r="AD120" s="402" t="s">
        <v>1054</v>
      </c>
      <c r="AE120" s="403">
        <v>9999</v>
      </c>
      <c r="AF120" s="404">
        <v>0</v>
      </c>
      <c r="AG120" s="409"/>
      <c r="AH120" s="445">
        <f>IF(TYPE(VLOOKUP(H120,Centrum!$A$3:$E$130,5,0))&lt;4,VLOOKUP(H120,Centrum!$A$3:$E$130,5,0),0)</f>
        <v>0</v>
      </c>
      <c r="AI120" s="405" t="str">
        <f>IF(N($AH120)&gt;0,VLOOKUP($AH120,Body!$A$4:$F$259,5,0),"")</f>
        <v/>
      </c>
      <c r="AJ120" s="406" t="str">
        <f>IF(N($AH120)&gt;0,VLOOKUP($AH120,Body!$A$4:$F$259,6,0),"")</f>
        <v/>
      </c>
      <c r="AK120" s="405" t="str">
        <f>IF(N($AH120)&gt;0,VLOOKUP($AH120,Body!$A$4:$F$259,2,0),"")</f>
        <v/>
      </c>
      <c r="AL120" s="407" t="str">
        <f t="shared" si="48"/>
        <v/>
      </c>
      <c r="AM120" s="408">
        <f t="shared" si="49"/>
        <v>0</v>
      </c>
      <c r="AN120" s="334">
        <f>IF(OR(TYPE(I120)&gt;1,TYPE(MATCH(I120,I121:I$139,0))&gt;1),0,MATCH(I120,I121:I$139,0))+IF(OR(TYPE(I120)&gt;1,TYPE(MATCH(I120,O$11:O$139,0))&gt;1),0,MATCH(I120,O$11:O$139,0))+IF(OR(TYPE(I120)&gt;1,TYPE(MATCH(I120,U$11:U$139,0))&gt;1),0,MATCH(I120,U$11:U$139,0))+IF(OR(TYPE(I120)&gt;1,TYPE(MATCH(I120,AA$11:AA$139,0))&gt;1),0,MATCH(I120,AA$11:AA$139,0))</f>
        <v>0</v>
      </c>
      <c r="AO120" s="334">
        <f>IF(OR(TYPE(O120)&gt;1,TYPE(MATCH(O120,I$11:I$139,0))&gt;1),0,MATCH(O120,I$11:I$139,0))+IF(OR(TYPE(O120)&gt;1,TYPE(MATCH(O120,O121:O$139,0))&gt;1),0,MATCH(O120,O121:O$139,0))+IF(OR(TYPE(O120)&gt;1,TYPE(MATCH(O120,U$11:U$139,0))&gt;1),0,MATCH(O120,U$11:U$139,0))+IF(OR(TYPE(O120)&gt;1,TYPE(MATCH(O120,AA$11:AA$139,0))&gt;1),0,MATCH(O120,AA$11:AA$139,0))</f>
        <v>0</v>
      </c>
      <c r="AP120" s="334">
        <f>IF(OR(TYPE(U120)&gt;1,TYPE(MATCH(U120,I$11:I$139,0))&gt;1),0,MATCH(U120,I$11:I$139,0))+IF(OR(TYPE(U120)&gt;1,TYPE(MATCH(U120,O$11:O$139,0))&gt;1),0,MATCH(U120,O$11:O$139,0))+IF(OR(TYPE(U120)&gt;1,TYPE(MATCH(U120,U121:U$139,0))&gt;1),0,MATCH(U120,U121:U$139,0))+IF(OR(TYPE(U120)&gt;1,TYPE(MATCH(U120,AA$11:AA$139,0))&gt;1),0,MATCH(U120,AA$11:AA$139,0))</f>
        <v>0</v>
      </c>
      <c r="AQ120" s="334">
        <f>IF(OR(TYPE(AA120)&gt;1,TYPE(MATCH(AA120,I$11:I$139,0))&gt;1),0,MATCH(AA120,I$11:I$139,0))+IF(OR(TYPE(AA120)&gt;1,TYPE(MATCH(AA120,O$11:O$139,0))&gt;1),0,MATCH(AA120,O$11:O$139,0))+IF(OR(TYPE(AA120)&gt;1,TYPE(MATCH(AA120,U$11:U$139,0))&gt;1),0,MATCH(U120,U$11:U$139,0))+IF(OR(TYPE(AA120)&gt;1,TYPE(MATCH(AA120,AA121:AA$139,0))&gt;1),0,MATCH(AA120,AA121:AA$139,0))</f>
        <v>0</v>
      </c>
      <c r="AR120" s="334">
        <f t="shared" si="50"/>
        <v>0</v>
      </c>
      <c r="AT120" s="333">
        <f t="shared" si="51"/>
        <v>0</v>
      </c>
      <c r="AU120" s="333">
        <f>IF(AND(N(I120)&gt;0,TYPE(VLOOKUP(I120,Hraci!$A$5:$A$800,1,0))&gt;3),1,0) + IF(AND(N(O120)&gt;0,TYPE(VLOOKUP(O120,Hraci!$A$5:$A$800,1,0))&gt;3),1,0) + IF(AND(N(U120)&gt;0,TYPE(VLOOKUP(U120,Hraci!$A$5:$A$800,1,0))&gt;3),1,0)</f>
        <v>0</v>
      </c>
      <c r="BF120" s="334">
        <f t="shared" si="39"/>
        <v>110</v>
      </c>
    </row>
    <row r="121" spans="1:58" ht="14.25" x14ac:dyDescent="0.3">
      <c r="A121" s="358">
        <f t="shared" si="40"/>
        <v>0</v>
      </c>
      <c r="B121" s="358">
        <f t="shared" si="41"/>
        <v>0</v>
      </c>
      <c r="C121" s="358">
        <f t="shared" si="42"/>
        <v>0</v>
      </c>
      <c r="D121" s="358">
        <f t="shared" si="43"/>
        <v>99999</v>
      </c>
      <c r="E121" s="358">
        <f t="shared" si="44"/>
        <v>9999</v>
      </c>
      <c r="F121" s="359" t="str">
        <f t="shared" ca="1" si="45"/>
        <v>90000000900000990000670812</v>
      </c>
      <c r="G121" s="398" t="b">
        <f t="shared" si="46"/>
        <v>1</v>
      </c>
      <c r="H121" s="399">
        <f t="shared" si="47"/>
        <v>111</v>
      </c>
      <c r="I121" s="400" t="s">
        <v>2005</v>
      </c>
      <c r="J121" s="401" t="s">
        <v>1054</v>
      </c>
      <c r="K121" s="402" t="s">
        <v>1054</v>
      </c>
      <c r="L121" s="402" t="s">
        <v>1054</v>
      </c>
      <c r="M121" s="403">
        <v>9999</v>
      </c>
      <c r="N121" s="404">
        <v>0</v>
      </c>
      <c r="O121" s="400" t="s">
        <v>2005</v>
      </c>
      <c r="P121" s="401" t="s">
        <v>1054</v>
      </c>
      <c r="Q121" s="402" t="s">
        <v>1054</v>
      </c>
      <c r="R121" s="402" t="s">
        <v>1054</v>
      </c>
      <c r="S121" s="403">
        <v>9999</v>
      </c>
      <c r="T121" s="404">
        <v>0</v>
      </c>
      <c r="U121" s="400" t="s">
        <v>2005</v>
      </c>
      <c r="V121" s="401" t="s">
        <v>1054</v>
      </c>
      <c r="W121" s="402" t="s">
        <v>1054</v>
      </c>
      <c r="X121" s="402" t="s">
        <v>1054</v>
      </c>
      <c r="Y121" s="403">
        <v>9999</v>
      </c>
      <c r="Z121" s="404">
        <v>0</v>
      </c>
      <c r="AA121" s="400" t="s">
        <v>2005</v>
      </c>
      <c r="AB121" s="401" t="s">
        <v>1054</v>
      </c>
      <c r="AC121" s="402" t="s">
        <v>1054</v>
      </c>
      <c r="AD121" s="402" t="s">
        <v>1054</v>
      </c>
      <c r="AE121" s="403">
        <v>9999</v>
      </c>
      <c r="AF121" s="404">
        <v>0</v>
      </c>
      <c r="AG121" s="409"/>
      <c r="AH121" s="445">
        <f>IF(TYPE(VLOOKUP(H121,Centrum!$A$3:$E$130,5,0))&lt;4,VLOOKUP(H121,Centrum!$A$3:$E$130,5,0),0)</f>
        <v>0</v>
      </c>
      <c r="AI121" s="405" t="str">
        <f>IF(N($AH121)&gt;0,VLOOKUP($AH121,Body!$A$4:$F$259,5,0),"")</f>
        <v/>
      </c>
      <c r="AJ121" s="406" t="str">
        <f>IF(N($AH121)&gt;0,VLOOKUP($AH121,Body!$A$4:$F$259,6,0),"")</f>
        <v/>
      </c>
      <c r="AK121" s="405" t="str">
        <f>IF(N($AH121)&gt;0,VLOOKUP($AH121,Body!$A$4:$F$259,2,0),"")</f>
        <v/>
      </c>
      <c r="AL121" s="407" t="str">
        <f t="shared" si="48"/>
        <v/>
      </c>
      <c r="AM121" s="408">
        <f t="shared" si="49"/>
        <v>0</v>
      </c>
      <c r="AN121" s="334">
        <f>IF(OR(TYPE(I121)&gt;1,TYPE(MATCH(I121,I122:I$139,0))&gt;1),0,MATCH(I121,I122:I$139,0))+IF(OR(TYPE(I121)&gt;1,TYPE(MATCH(I121,O$11:O$139,0))&gt;1),0,MATCH(I121,O$11:O$139,0))+IF(OR(TYPE(I121)&gt;1,TYPE(MATCH(I121,U$11:U$139,0))&gt;1),0,MATCH(I121,U$11:U$139,0))+IF(OR(TYPE(I121)&gt;1,TYPE(MATCH(I121,AA$11:AA$139,0))&gt;1),0,MATCH(I121,AA$11:AA$139,0))</f>
        <v>0</v>
      </c>
      <c r="AO121" s="334">
        <f>IF(OR(TYPE(O121)&gt;1,TYPE(MATCH(O121,I$11:I$139,0))&gt;1),0,MATCH(O121,I$11:I$139,0))+IF(OR(TYPE(O121)&gt;1,TYPE(MATCH(O121,O122:O$139,0))&gt;1),0,MATCH(O121,O122:O$139,0))+IF(OR(TYPE(O121)&gt;1,TYPE(MATCH(O121,U$11:U$139,0))&gt;1),0,MATCH(O121,U$11:U$139,0))+IF(OR(TYPE(O121)&gt;1,TYPE(MATCH(O121,AA$11:AA$139,0))&gt;1),0,MATCH(O121,AA$11:AA$139,0))</f>
        <v>0</v>
      </c>
      <c r="AP121" s="334">
        <f>IF(OR(TYPE(U121)&gt;1,TYPE(MATCH(U121,I$11:I$139,0))&gt;1),0,MATCH(U121,I$11:I$139,0))+IF(OR(TYPE(U121)&gt;1,TYPE(MATCH(U121,O$11:O$139,0))&gt;1),0,MATCH(U121,O$11:O$139,0))+IF(OR(TYPE(U121)&gt;1,TYPE(MATCH(U121,U122:U$139,0))&gt;1),0,MATCH(U121,U122:U$139,0))+IF(OR(TYPE(U121)&gt;1,TYPE(MATCH(U121,AA$11:AA$139,0))&gt;1),0,MATCH(U121,AA$11:AA$139,0))</f>
        <v>0</v>
      </c>
      <c r="AQ121" s="334">
        <f>IF(OR(TYPE(AA121)&gt;1,TYPE(MATCH(AA121,I$11:I$139,0))&gt;1),0,MATCH(AA121,I$11:I$139,0))+IF(OR(TYPE(AA121)&gt;1,TYPE(MATCH(AA121,O$11:O$139,0))&gt;1),0,MATCH(AA121,O$11:O$139,0))+IF(OR(TYPE(AA121)&gt;1,TYPE(MATCH(AA121,U$11:U$139,0))&gt;1),0,MATCH(U121,U$11:U$139,0))+IF(OR(TYPE(AA121)&gt;1,TYPE(MATCH(AA121,AA122:AA$139,0))&gt;1),0,MATCH(AA121,AA122:AA$139,0))</f>
        <v>0</v>
      </c>
      <c r="AR121" s="334">
        <f t="shared" si="50"/>
        <v>0</v>
      </c>
      <c r="AT121" s="333">
        <f t="shared" si="51"/>
        <v>0</v>
      </c>
      <c r="AU121" s="333">
        <f>IF(AND(N(I121)&gt;0,TYPE(VLOOKUP(I121,Hraci!$A$5:$A$800,1,0))&gt;3),1,0) + IF(AND(N(O121)&gt;0,TYPE(VLOOKUP(O121,Hraci!$A$5:$A$800,1,0))&gt;3),1,0) + IF(AND(N(U121)&gt;0,TYPE(VLOOKUP(U121,Hraci!$A$5:$A$800,1,0))&gt;3),1,0)</f>
        <v>0</v>
      </c>
      <c r="BF121" s="334">
        <f t="shared" si="39"/>
        <v>111</v>
      </c>
    </row>
    <row r="122" spans="1:58" ht="14.25" x14ac:dyDescent="0.3">
      <c r="A122" s="358">
        <f t="shared" si="40"/>
        <v>0</v>
      </c>
      <c r="B122" s="358">
        <f t="shared" si="41"/>
        <v>0</v>
      </c>
      <c r="C122" s="358">
        <f t="shared" si="42"/>
        <v>0</v>
      </c>
      <c r="D122" s="358">
        <f t="shared" si="43"/>
        <v>99999</v>
      </c>
      <c r="E122" s="358">
        <f t="shared" si="44"/>
        <v>9999</v>
      </c>
      <c r="F122" s="359" t="str">
        <f t="shared" ca="1" si="45"/>
        <v>90000000900000990000665142</v>
      </c>
      <c r="G122" s="398" t="b">
        <f t="shared" si="46"/>
        <v>1</v>
      </c>
      <c r="H122" s="399">
        <f t="shared" si="47"/>
        <v>112</v>
      </c>
      <c r="I122" s="400" t="s">
        <v>2005</v>
      </c>
      <c r="J122" s="401" t="s">
        <v>1054</v>
      </c>
      <c r="K122" s="402" t="s">
        <v>1054</v>
      </c>
      <c r="L122" s="402" t="s">
        <v>1054</v>
      </c>
      <c r="M122" s="403">
        <v>9999</v>
      </c>
      <c r="N122" s="404">
        <v>0</v>
      </c>
      <c r="O122" s="400" t="s">
        <v>2005</v>
      </c>
      <c r="P122" s="401" t="s">
        <v>1054</v>
      </c>
      <c r="Q122" s="402" t="s">
        <v>1054</v>
      </c>
      <c r="R122" s="402" t="s">
        <v>1054</v>
      </c>
      <c r="S122" s="403">
        <v>9999</v>
      </c>
      <c r="T122" s="404">
        <v>0</v>
      </c>
      <c r="U122" s="400" t="s">
        <v>2005</v>
      </c>
      <c r="V122" s="401" t="s">
        <v>1054</v>
      </c>
      <c r="W122" s="402" t="s">
        <v>1054</v>
      </c>
      <c r="X122" s="402" t="s">
        <v>1054</v>
      </c>
      <c r="Y122" s="403">
        <v>9999</v>
      </c>
      <c r="Z122" s="404">
        <v>0</v>
      </c>
      <c r="AA122" s="400" t="s">
        <v>2005</v>
      </c>
      <c r="AB122" s="401" t="s">
        <v>1054</v>
      </c>
      <c r="AC122" s="402" t="s">
        <v>1054</v>
      </c>
      <c r="AD122" s="402" t="s">
        <v>1054</v>
      </c>
      <c r="AE122" s="403">
        <v>9999</v>
      </c>
      <c r="AF122" s="404">
        <v>0</v>
      </c>
      <c r="AG122" s="409"/>
      <c r="AH122" s="445">
        <f>IF(TYPE(VLOOKUP(H122,Centrum!$A$3:$E$130,5,0))&lt;4,VLOOKUP(H122,Centrum!$A$3:$E$130,5,0),0)</f>
        <v>0</v>
      </c>
      <c r="AI122" s="405" t="str">
        <f>IF(N($AH122)&gt;0,VLOOKUP($AH122,Body!$A$4:$F$259,5,0),"")</f>
        <v/>
      </c>
      <c r="AJ122" s="406" t="str">
        <f>IF(N($AH122)&gt;0,VLOOKUP($AH122,Body!$A$4:$F$259,6,0),"")</f>
        <v/>
      </c>
      <c r="AK122" s="405" t="str">
        <f>IF(N($AH122)&gt;0,VLOOKUP($AH122,Body!$A$4:$F$259,2,0),"")</f>
        <v/>
      </c>
      <c r="AL122" s="407" t="str">
        <f t="shared" si="48"/>
        <v/>
      </c>
      <c r="AM122" s="408">
        <f t="shared" si="49"/>
        <v>0</v>
      </c>
      <c r="AN122" s="334">
        <f>IF(OR(TYPE(I122)&gt;1,TYPE(MATCH(I122,I123:I$139,0))&gt;1),0,MATCH(I122,I123:I$139,0))+IF(OR(TYPE(I122)&gt;1,TYPE(MATCH(I122,O$11:O$139,0))&gt;1),0,MATCH(I122,O$11:O$139,0))+IF(OR(TYPE(I122)&gt;1,TYPE(MATCH(I122,U$11:U$139,0))&gt;1),0,MATCH(I122,U$11:U$139,0))+IF(OR(TYPE(I122)&gt;1,TYPE(MATCH(I122,AA$11:AA$139,0))&gt;1),0,MATCH(I122,AA$11:AA$139,0))</f>
        <v>0</v>
      </c>
      <c r="AO122" s="334">
        <f>IF(OR(TYPE(O122)&gt;1,TYPE(MATCH(O122,I$11:I$139,0))&gt;1),0,MATCH(O122,I$11:I$139,0))+IF(OR(TYPE(O122)&gt;1,TYPE(MATCH(O122,O123:O$139,0))&gt;1),0,MATCH(O122,O123:O$139,0))+IF(OR(TYPE(O122)&gt;1,TYPE(MATCH(O122,U$11:U$139,0))&gt;1),0,MATCH(O122,U$11:U$139,0))+IF(OR(TYPE(O122)&gt;1,TYPE(MATCH(O122,AA$11:AA$139,0))&gt;1),0,MATCH(O122,AA$11:AA$139,0))</f>
        <v>0</v>
      </c>
      <c r="AP122" s="334">
        <f>IF(OR(TYPE(U122)&gt;1,TYPE(MATCH(U122,I$11:I$139,0))&gt;1),0,MATCH(U122,I$11:I$139,0))+IF(OR(TYPE(U122)&gt;1,TYPE(MATCH(U122,O$11:O$139,0))&gt;1),0,MATCH(U122,O$11:O$139,0))+IF(OR(TYPE(U122)&gt;1,TYPE(MATCH(U122,U123:U$139,0))&gt;1),0,MATCH(U122,U123:U$139,0))+IF(OR(TYPE(U122)&gt;1,TYPE(MATCH(U122,AA$11:AA$139,0))&gt;1),0,MATCH(U122,AA$11:AA$139,0))</f>
        <v>0</v>
      </c>
      <c r="AQ122" s="334">
        <f>IF(OR(TYPE(AA122)&gt;1,TYPE(MATCH(AA122,I$11:I$139,0))&gt;1),0,MATCH(AA122,I$11:I$139,0))+IF(OR(TYPE(AA122)&gt;1,TYPE(MATCH(AA122,O$11:O$139,0))&gt;1),0,MATCH(AA122,O$11:O$139,0))+IF(OR(TYPE(AA122)&gt;1,TYPE(MATCH(AA122,U$11:U$139,0))&gt;1),0,MATCH(U122,U$11:U$139,0))+IF(OR(TYPE(AA122)&gt;1,TYPE(MATCH(AA122,AA123:AA$139,0))&gt;1),0,MATCH(AA122,AA123:AA$139,0))</f>
        <v>0</v>
      </c>
      <c r="AR122" s="334">
        <f t="shared" si="50"/>
        <v>0</v>
      </c>
      <c r="AT122" s="333">
        <f t="shared" si="51"/>
        <v>0</v>
      </c>
      <c r="AU122" s="333">
        <f>IF(AND(N(I122)&gt;0,TYPE(VLOOKUP(I122,Hraci!$A$5:$A$800,1,0))&gt;3),1,0) + IF(AND(N(O122)&gt;0,TYPE(VLOOKUP(O122,Hraci!$A$5:$A$800,1,0))&gt;3),1,0) + IF(AND(N(U122)&gt;0,TYPE(VLOOKUP(U122,Hraci!$A$5:$A$800,1,0))&gt;3),1,0)</f>
        <v>0</v>
      </c>
      <c r="BF122" s="334">
        <f t="shared" si="39"/>
        <v>112</v>
      </c>
    </row>
    <row r="123" spans="1:58" ht="14.25" x14ac:dyDescent="0.3">
      <c r="A123" s="358">
        <f t="shared" si="40"/>
        <v>0</v>
      </c>
      <c r="B123" s="358">
        <f t="shared" si="41"/>
        <v>0</v>
      </c>
      <c r="C123" s="358">
        <f t="shared" si="42"/>
        <v>0</v>
      </c>
      <c r="D123" s="358">
        <f t="shared" si="43"/>
        <v>99999</v>
      </c>
      <c r="E123" s="317">
        <f t="shared" si="44"/>
        <v>9999</v>
      </c>
      <c r="F123" s="359" t="str">
        <f t="shared" ca="1" si="45"/>
        <v>90000000900000990000739040</v>
      </c>
      <c r="G123" s="398" t="b">
        <f t="shared" si="46"/>
        <v>1</v>
      </c>
      <c r="H123" s="399">
        <f t="shared" si="47"/>
        <v>113</v>
      </c>
      <c r="I123" s="400" t="s">
        <v>2005</v>
      </c>
      <c r="J123" s="401" t="s">
        <v>1054</v>
      </c>
      <c r="K123" s="402" t="s">
        <v>1054</v>
      </c>
      <c r="L123" s="402" t="s">
        <v>1054</v>
      </c>
      <c r="M123" s="403">
        <v>9999</v>
      </c>
      <c r="N123" s="404">
        <v>0</v>
      </c>
      <c r="O123" s="400" t="s">
        <v>2005</v>
      </c>
      <c r="P123" s="401" t="s">
        <v>1054</v>
      </c>
      <c r="Q123" s="402" t="s">
        <v>1054</v>
      </c>
      <c r="R123" s="402" t="s">
        <v>1054</v>
      </c>
      <c r="S123" s="403">
        <v>9999</v>
      </c>
      <c r="T123" s="404">
        <v>0</v>
      </c>
      <c r="U123" s="400" t="s">
        <v>2005</v>
      </c>
      <c r="V123" s="401" t="s">
        <v>1054</v>
      </c>
      <c r="W123" s="402" t="s">
        <v>1054</v>
      </c>
      <c r="X123" s="402" t="s">
        <v>1054</v>
      </c>
      <c r="Y123" s="403">
        <v>9999</v>
      </c>
      <c r="Z123" s="404">
        <v>0</v>
      </c>
      <c r="AA123" s="400" t="s">
        <v>2005</v>
      </c>
      <c r="AB123" s="401" t="s">
        <v>1054</v>
      </c>
      <c r="AC123" s="402" t="s">
        <v>1054</v>
      </c>
      <c r="AD123" s="402" t="s">
        <v>1054</v>
      </c>
      <c r="AE123" s="403">
        <v>9999</v>
      </c>
      <c r="AF123" s="404">
        <v>0</v>
      </c>
      <c r="AG123" s="409"/>
      <c r="AH123" s="445">
        <f>IF(TYPE(VLOOKUP(H123,Centrum!$A$3:$E$130,5,0))&lt;4,VLOOKUP(H123,Centrum!$A$3:$E$130,5,0),0)</f>
        <v>0</v>
      </c>
      <c r="AI123" s="405" t="str">
        <f>IF(N($AH123)&gt;0,VLOOKUP($AH123,Body!$A$4:$F$259,5,0),"")</f>
        <v/>
      </c>
      <c r="AJ123" s="406" t="str">
        <f>IF(N($AH123)&gt;0,VLOOKUP($AH123,Body!$A$4:$F$259,6,0),"")</f>
        <v/>
      </c>
      <c r="AK123" s="405" t="str">
        <f>IF(N($AH123)&gt;0,VLOOKUP($AH123,Body!$A$4:$F$259,2,0),"")</f>
        <v/>
      </c>
      <c r="AL123" s="407" t="str">
        <f t="shared" si="48"/>
        <v/>
      </c>
      <c r="AM123" s="408">
        <f t="shared" si="49"/>
        <v>0</v>
      </c>
      <c r="AN123" s="334">
        <f>IF(OR(TYPE(I123)&gt;1,TYPE(MATCH(I123,I124:I$139,0))&gt;1),0,MATCH(I123,I124:I$139,0))+IF(OR(TYPE(I123)&gt;1,TYPE(MATCH(I123,O$11:O$139,0))&gt;1),0,MATCH(I123,O$11:O$139,0))+IF(OR(TYPE(I123)&gt;1,TYPE(MATCH(I123,U$11:U$139,0))&gt;1),0,MATCH(I123,U$11:U$139,0))+IF(OR(TYPE(I123)&gt;1,TYPE(MATCH(I123,AA$11:AA$139,0))&gt;1),0,MATCH(I123,AA$11:AA$139,0))</f>
        <v>0</v>
      </c>
      <c r="AO123" s="334">
        <f>IF(OR(TYPE(O123)&gt;1,TYPE(MATCH(O123,I$11:I$139,0))&gt;1),0,MATCH(O123,I$11:I$139,0))+IF(OR(TYPE(O123)&gt;1,TYPE(MATCH(O123,O124:O$139,0))&gt;1),0,MATCH(O123,O124:O$139,0))+IF(OR(TYPE(O123)&gt;1,TYPE(MATCH(O123,U$11:U$139,0))&gt;1),0,MATCH(O123,U$11:U$139,0))+IF(OR(TYPE(O123)&gt;1,TYPE(MATCH(O123,AA$11:AA$139,0))&gt;1),0,MATCH(O123,AA$11:AA$139,0))</f>
        <v>0</v>
      </c>
      <c r="AP123" s="334">
        <f>IF(OR(TYPE(U123)&gt;1,TYPE(MATCH(U123,I$11:I$139,0))&gt;1),0,MATCH(U123,I$11:I$139,0))+IF(OR(TYPE(U123)&gt;1,TYPE(MATCH(U123,O$11:O$139,0))&gt;1),0,MATCH(U123,O$11:O$139,0))+IF(OR(TYPE(U123)&gt;1,TYPE(MATCH(U123,U124:U$139,0))&gt;1),0,MATCH(U123,U124:U$139,0))+IF(OR(TYPE(U123)&gt;1,TYPE(MATCH(U123,AA$11:AA$139,0))&gt;1),0,MATCH(U123,AA$11:AA$139,0))</f>
        <v>0</v>
      </c>
      <c r="AQ123" s="334">
        <f>IF(OR(TYPE(AA123)&gt;1,TYPE(MATCH(AA123,I$11:I$139,0))&gt;1),0,MATCH(AA123,I$11:I$139,0))+IF(OR(TYPE(AA123)&gt;1,TYPE(MATCH(AA123,O$11:O$139,0))&gt;1),0,MATCH(AA123,O$11:O$139,0))+IF(OR(TYPE(AA123)&gt;1,TYPE(MATCH(AA123,U$11:U$139,0))&gt;1),0,MATCH(U123,U$11:U$139,0))+IF(OR(TYPE(AA123)&gt;1,TYPE(MATCH(AA123,AA124:AA$139,0))&gt;1),0,MATCH(AA123,AA124:AA$139,0))</f>
        <v>0</v>
      </c>
      <c r="AR123" s="334">
        <f t="shared" si="50"/>
        <v>0</v>
      </c>
      <c r="AT123" s="333">
        <f t="shared" si="51"/>
        <v>0</v>
      </c>
      <c r="AU123" s="333">
        <f>IF(AND(N(I123)&gt;0,TYPE(VLOOKUP(I123,Hraci!$A$5:$A$800,1,0))&gt;3),1,0) + IF(AND(N(O123)&gt;0,TYPE(VLOOKUP(O123,Hraci!$A$5:$A$800,1,0))&gt;3),1,0) + IF(AND(N(U123)&gt;0,TYPE(VLOOKUP(U123,Hraci!$A$5:$A$800,1,0))&gt;3),1,0)</f>
        <v>0</v>
      </c>
      <c r="BF123" s="334">
        <f t="shared" si="39"/>
        <v>113</v>
      </c>
    </row>
    <row r="124" spans="1:58" ht="14.25" x14ac:dyDescent="0.3">
      <c r="A124" s="358">
        <f t="shared" si="40"/>
        <v>0</v>
      </c>
      <c r="B124" s="358">
        <f t="shared" si="41"/>
        <v>0</v>
      </c>
      <c r="C124" s="358">
        <f t="shared" si="42"/>
        <v>0</v>
      </c>
      <c r="D124" s="358">
        <f t="shared" si="43"/>
        <v>99999</v>
      </c>
      <c r="E124" s="358">
        <f t="shared" si="44"/>
        <v>9999</v>
      </c>
      <c r="F124" s="359" t="str">
        <f t="shared" ca="1" si="45"/>
        <v>90000000900000990000720708</v>
      </c>
      <c r="G124" s="398" t="b">
        <f t="shared" si="46"/>
        <v>1</v>
      </c>
      <c r="H124" s="399">
        <f t="shared" si="47"/>
        <v>114</v>
      </c>
      <c r="I124" s="400" t="s">
        <v>2005</v>
      </c>
      <c r="J124" s="401" t="s">
        <v>1054</v>
      </c>
      <c r="K124" s="402" t="s">
        <v>1054</v>
      </c>
      <c r="L124" s="402" t="s">
        <v>1054</v>
      </c>
      <c r="M124" s="403">
        <v>9999</v>
      </c>
      <c r="N124" s="404">
        <v>0</v>
      </c>
      <c r="O124" s="400" t="s">
        <v>2005</v>
      </c>
      <c r="P124" s="401" t="s">
        <v>1054</v>
      </c>
      <c r="Q124" s="402" t="s">
        <v>1054</v>
      </c>
      <c r="R124" s="402" t="s">
        <v>1054</v>
      </c>
      <c r="S124" s="403">
        <v>9999</v>
      </c>
      <c r="T124" s="404">
        <v>0</v>
      </c>
      <c r="U124" s="400" t="s">
        <v>2005</v>
      </c>
      <c r="V124" s="401" t="s">
        <v>1054</v>
      </c>
      <c r="W124" s="402" t="s">
        <v>1054</v>
      </c>
      <c r="X124" s="402" t="s">
        <v>1054</v>
      </c>
      <c r="Y124" s="403">
        <v>9999</v>
      </c>
      <c r="Z124" s="404">
        <v>0</v>
      </c>
      <c r="AA124" s="400" t="s">
        <v>2005</v>
      </c>
      <c r="AB124" s="401" t="s">
        <v>1054</v>
      </c>
      <c r="AC124" s="402" t="s">
        <v>1054</v>
      </c>
      <c r="AD124" s="402" t="s">
        <v>1054</v>
      </c>
      <c r="AE124" s="403">
        <v>9999</v>
      </c>
      <c r="AF124" s="404">
        <v>0</v>
      </c>
      <c r="AG124" s="409"/>
      <c r="AH124" s="445">
        <f>IF(TYPE(VLOOKUP(H124,Centrum!$A$3:$E$130,5,0))&lt;4,VLOOKUP(H124,Centrum!$A$3:$E$130,5,0),0)</f>
        <v>0</v>
      </c>
      <c r="AI124" s="405" t="str">
        <f>IF(N($AH124)&gt;0,VLOOKUP($AH124,Body!$A$4:$F$259,5,0),"")</f>
        <v/>
      </c>
      <c r="AJ124" s="406" t="str">
        <f>IF(N($AH124)&gt;0,VLOOKUP($AH124,Body!$A$4:$F$259,6,0),"")</f>
        <v/>
      </c>
      <c r="AK124" s="405" t="str">
        <f>IF(N($AH124)&gt;0,VLOOKUP($AH124,Body!$A$4:$F$259,2,0),"")</f>
        <v/>
      </c>
      <c r="AL124" s="407" t="str">
        <f t="shared" si="48"/>
        <v/>
      </c>
      <c r="AM124" s="408">
        <f t="shared" si="49"/>
        <v>0</v>
      </c>
      <c r="AN124" s="334">
        <f>IF(OR(TYPE(I124)&gt;1,TYPE(MATCH(I124,I125:I$139,0))&gt;1),0,MATCH(I124,I125:I$139,0))+IF(OR(TYPE(I124)&gt;1,TYPE(MATCH(I124,O$11:O$139,0))&gt;1),0,MATCH(I124,O$11:O$139,0))+IF(OR(TYPE(I124)&gt;1,TYPE(MATCH(I124,U$11:U$139,0))&gt;1),0,MATCH(I124,U$11:U$139,0))+IF(OR(TYPE(I124)&gt;1,TYPE(MATCH(I124,AA$11:AA$139,0))&gt;1),0,MATCH(I124,AA$11:AA$139,0))</f>
        <v>0</v>
      </c>
      <c r="AO124" s="334">
        <f>IF(OR(TYPE(O124)&gt;1,TYPE(MATCH(O124,I$11:I$139,0))&gt;1),0,MATCH(O124,I$11:I$139,0))+IF(OR(TYPE(O124)&gt;1,TYPE(MATCH(O124,O125:O$139,0))&gt;1),0,MATCH(O124,O125:O$139,0))+IF(OR(TYPE(O124)&gt;1,TYPE(MATCH(O124,U$11:U$139,0))&gt;1),0,MATCH(O124,U$11:U$139,0))+IF(OR(TYPE(O124)&gt;1,TYPE(MATCH(O124,AA$11:AA$139,0))&gt;1),0,MATCH(O124,AA$11:AA$139,0))</f>
        <v>0</v>
      </c>
      <c r="AP124" s="334">
        <f>IF(OR(TYPE(U124)&gt;1,TYPE(MATCH(U124,I$11:I$139,0))&gt;1),0,MATCH(U124,I$11:I$139,0))+IF(OR(TYPE(U124)&gt;1,TYPE(MATCH(U124,O$11:O$139,0))&gt;1),0,MATCH(U124,O$11:O$139,0))+IF(OR(TYPE(U124)&gt;1,TYPE(MATCH(U124,U125:U$139,0))&gt;1),0,MATCH(U124,U125:U$139,0))+IF(OR(TYPE(U124)&gt;1,TYPE(MATCH(U124,AA$11:AA$139,0))&gt;1),0,MATCH(U124,AA$11:AA$139,0))</f>
        <v>0</v>
      </c>
      <c r="AQ124" s="334">
        <f>IF(OR(TYPE(AA124)&gt;1,TYPE(MATCH(AA124,I$11:I$139,0))&gt;1),0,MATCH(AA124,I$11:I$139,0))+IF(OR(TYPE(AA124)&gt;1,TYPE(MATCH(AA124,O$11:O$139,0))&gt;1),0,MATCH(AA124,O$11:O$139,0))+IF(OR(TYPE(AA124)&gt;1,TYPE(MATCH(AA124,U$11:U$139,0))&gt;1),0,MATCH(U124,U$11:U$139,0))+IF(OR(TYPE(AA124)&gt;1,TYPE(MATCH(AA124,AA125:AA$139,0))&gt;1),0,MATCH(AA124,AA125:AA$139,0))</f>
        <v>0</v>
      </c>
      <c r="AR124" s="334">
        <f t="shared" si="50"/>
        <v>0</v>
      </c>
      <c r="AT124" s="333">
        <f t="shared" si="51"/>
        <v>0</v>
      </c>
      <c r="AU124" s="333">
        <f>IF(AND(N(I124)&gt;0,TYPE(VLOOKUP(I124,Hraci!$A$5:$A$800,1,0))&gt;3),1,0) + IF(AND(N(O124)&gt;0,TYPE(VLOOKUP(O124,Hraci!$A$5:$A$800,1,0))&gt;3),1,0) + IF(AND(N(U124)&gt;0,TYPE(VLOOKUP(U124,Hraci!$A$5:$A$800,1,0))&gt;3),1,0)</f>
        <v>0</v>
      </c>
      <c r="BF124" s="334">
        <f t="shared" si="39"/>
        <v>114</v>
      </c>
    </row>
    <row r="125" spans="1:58" ht="14.25" x14ac:dyDescent="0.3">
      <c r="A125" s="358">
        <f t="shared" si="40"/>
        <v>0</v>
      </c>
      <c r="B125" s="358">
        <f t="shared" si="41"/>
        <v>0</v>
      </c>
      <c r="C125" s="358">
        <f t="shared" si="42"/>
        <v>0</v>
      </c>
      <c r="D125" s="358">
        <f t="shared" si="43"/>
        <v>99999</v>
      </c>
      <c r="E125" s="358">
        <f t="shared" si="44"/>
        <v>9999</v>
      </c>
      <c r="F125" s="359" t="str">
        <f t="shared" ca="1" si="45"/>
        <v>90000000900000990000677809</v>
      </c>
      <c r="G125" s="398" t="b">
        <f t="shared" si="46"/>
        <v>1</v>
      </c>
      <c r="H125" s="399">
        <f t="shared" si="47"/>
        <v>115</v>
      </c>
      <c r="I125" s="400" t="s">
        <v>2005</v>
      </c>
      <c r="J125" s="401" t="s">
        <v>1054</v>
      </c>
      <c r="K125" s="402" t="s">
        <v>1054</v>
      </c>
      <c r="L125" s="402" t="s">
        <v>1054</v>
      </c>
      <c r="M125" s="403">
        <v>9999</v>
      </c>
      <c r="N125" s="404">
        <v>0</v>
      </c>
      <c r="O125" s="400" t="s">
        <v>2005</v>
      </c>
      <c r="P125" s="401" t="s">
        <v>1054</v>
      </c>
      <c r="Q125" s="402" t="s">
        <v>1054</v>
      </c>
      <c r="R125" s="402" t="s">
        <v>1054</v>
      </c>
      <c r="S125" s="403">
        <v>9999</v>
      </c>
      <c r="T125" s="404">
        <v>0</v>
      </c>
      <c r="U125" s="400" t="s">
        <v>2005</v>
      </c>
      <c r="V125" s="401" t="s">
        <v>1054</v>
      </c>
      <c r="W125" s="402" t="s">
        <v>1054</v>
      </c>
      <c r="X125" s="402" t="s">
        <v>1054</v>
      </c>
      <c r="Y125" s="403">
        <v>9999</v>
      </c>
      <c r="Z125" s="404">
        <v>0</v>
      </c>
      <c r="AA125" s="400" t="s">
        <v>2005</v>
      </c>
      <c r="AB125" s="401" t="s">
        <v>1054</v>
      </c>
      <c r="AC125" s="402" t="s">
        <v>1054</v>
      </c>
      <c r="AD125" s="402" t="s">
        <v>1054</v>
      </c>
      <c r="AE125" s="403">
        <v>9999</v>
      </c>
      <c r="AF125" s="404">
        <v>0</v>
      </c>
      <c r="AG125" s="409"/>
      <c r="AH125" s="445">
        <f>IF(TYPE(VLOOKUP(H125,Centrum!$A$3:$E$130,5,0))&lt;4,VLOOKUP(H125,Centrum!$A$3:$E$130,5,0),0)</f>
        <v>0</v>
      </c>
      <c r="AI125" s="405" t="str">
        <f>IF(N($AH125)&gt;0,VLOOKUP($AH125,Body!$A$4:$F$259,5,0),"")</f>
        <v/>
      </c>
      <c r="AJ125" s="406" t="str">
        <f>IF(N($AH125)&gt;0,VLOOKUP($AH125,Body!$A$4:$F$259,6,0),"")</f>
        <v/>
      </c>
      <c r="AK125" s="405" t="str">
        <f>IF(N($AH125)&gt;0,VLOOKUP($AH125,Body!$A$4:$F$259,2,0),"")</f>
        <v/>
      </c>
      <c r="AL125" s="407" t="str">
        <f t="shared" si="48"/>
        <v/>
      </c>
      <c r="AM125" s="408">
        <f t="shared" si="49"/>
        <v>0</v>
      </c>
      <c r="AN125" s="334">
        <f>IF(OR(TYPE(I125)&gt;1,TYPE(MATCH(I125,I126:I$139,0))&gt;1),0,MATCH(I125,I126:I$139,0))+IF(OR(TYPE(I125)&gt;1,TYPE(MATCH(I125,O$11:O$139,0))&gt;1),0,MATCH(I125,O$11:O$139,0))+IF(OR(TYPE(I125)&gt;1,TYPE(MATCH(I125,U$11:U$139,0))&gt;1),0,MATCH(I125,U$11:U$139,0))+IF(OR(TYPE(I125)&gt;1,TYPE(MATCH(I125,AA$11:AA$139,0))&gt;1),0,MATCH(I125,AA$11:AA$139,0))</f>
        <v>0</v>
      </c>
      <c r="AO125" s="334">
        <f>IF(OR(TYPE(O125)&gt;1,TYPE(MATCH(O125,I$11:I$139,0))&gt;1),0,MATCH(O125,I$11:I$139,0))+IF(OR(TYPE(O125)&gt;1,TYPE(MATCH(O125,O126:O$139,0))&gt;1),0,MATCH(O125,O126:O$139,0))+IF(OR(TYPE(O125)&gt;1,TYPE(MATCH(O125,U$11:U$139,0))&gt;1),0,MATCH(O125,U$11:U$139,0))+IF(OR(TYPE(O125)&gt;1,TYPE(MATCH(O125,AA$11:AA$139,0))&gt;1),0,MATCH(O125,AA$11:AA$139,0))</f>
        <v>0</v>
      </c>
      <c r="AP125" s="334">
        <f>IF(OR(TYPE(U125)&gt;1,TYPE(MATCH(U125,I$11:I$139,0))&gt;1),0,MATCH(U125,I$11:I$139,0))+IF(OR(TYPE(U125)&gt;1,TYPE(MATCH(U125,O$11:O$139,0))&gt;1),0,MATCH(U125,O$11:O$139,0))+IF(OR(TYPE(U125)&gt;1,TYPE(MATCH(U125,U126:U$139,0))&gt;1),0,MATCH(U125,U126:U$139,0))+IF(OR(TYPE(U125)&gt;1,TYPE(MATCH(U125,AA$11:AA$139,0))&gt;1),0,MATCH(U125,AA$11:AA$139,0))</f>
        <v>0</v>
      </c>
      <c r="AQ125" s="334">
        <f>IF(OR(TYPE(AA125)&gt;1,TYPE(MATCH(AA125,I$11:I$139,0))&gt;1),0,MATCH(AA125,I$11:I$139,0))+IF(OR(TYPE(AA125)&gt;1,TYPE(MATCH(AA125,O$11:O$139,0))&gt;1),0,MATCH(AA125,O$11:O$139,0))+IF(OR(TYPE(AA125)&gt;1,TYPE(MATCH(AA125,U$11:U$139,0))&gt;1),0,MATCH(U125,U$11:U$139,0))+IF(OR(TYPE(AA125)&gt;1,TYPE(MATCH(AA125,AA126:AA$139,0))&gt;1),0,MATCH(AA125,AA126:AA$139,0))</f>
        <v>0</v>
      </c>
      <c r="AR125" s="334">
        <f t="shared" si="50"/>
        <v>0</v>
      </c>
      <c r="AT125" s="333">
        <f t="shared" si="51"/>
        <v>0</v>
      </c>
      <c r="AU125" s="333">
        <f>IF(AND(N(I125)&gt;0,TYPE(VLOOKUP(I125,Hraci!$A$5:$A$800,1,0))&gt;3),1,0) + IF(AND(N(O125)&gt;0,TYPE(VLOOKUP(O125,Hraci!$A$5:$A$800,1,0))&gt;3),1,0) + IF(AND(N(U125)&gt;0,TYPE(VLOOKUP(U125,Hraci!$A$5:$A$800,1,0))&gt;3),1,0)</f>
        <v>0</v>
      </c>
      <c r="BF125" s="334">
        <f t="shared" si="39"/>
        <v>115</v>
      </c>
    </row>
    <row r="126" spans="1:58" ht="14.25" x14ac:dyDescent="0.3">
      <c r="A126" s="358">
        <f t="shared" si="40"/>
        <v>0</v>
      </c>
      <c r="B126" s="358">
        <f t="shared" si="41"/>
        <v>0</v>
      </c>
      <c r="C126" s="358">
        <f t="shared" si="42"/>
        <v>0</v>
      </c>
      <c r="D126" s="358">
        <f t="shared" si="43"/>
        <v>99999</v>
      </c>
      <c r="E126" s="358">
        <f t="shared" si="44"/>
        <v>9999</v>
      </c>
      <c r="F126" s="359" t="str">
        <f t="shared" ca="1" si="45"/>
        <v>90000000900000990000240735</v>
      </c>
      <c r="G126" s="398" t="b">
        <f t="shared" si="46"/>
        <v>1</v>
      </c>
      <c r="H126" s="399">
        <f t="shared" si="47"/>
        <v>116</v>
      </c>
      <c r="I126" s="400" t="s">
        <v>2005</v>
      </c>
      <c r="J126" s="401" t="s">
        <v>1054</v>
      </c>
      <c r="K126" s="402" t="s">
        <v>1054</v>
      </c>
      <c r="L126" s="402" t="s">
        <v>1054</v>
      </c>
      <c r="M126" s="403">
        <v>9999</v>
      </c>
      <c r="N126" s="404">
        <v>0</v>
      </c>
      <c r="O126" s="400" t="s">
        <v>2005</v>
      </c>
      <c r="P126" s="401" t="s">
        <v>1054</v>
      </c>
      <c r="Q126" s="402" t="s">
        <v>1054</v>
      </c>
      <c r="R126" s="402" t="s">
        <v>1054</v>
      </c>
      <c r="S126" s="403">
        <v>9999</v>
      </c>
      <c r="T126" s="404">
        <v>0</v>
      </c>
      <c r="U126" s="400" t="s">
        <v>2005</v>
      </c>
      <c r="V126" s="401" t="s">
        <v>1054</v>
      </c>
      <c r="W126" s="402" t="s">
        <v>1054</v>
      </c>
      <c r="X126" s="402" t="s">
        <v>1054</v>
      </c>
      <c r="Y126" s="403">
        <v>9999</v>
      </c>
      <c r="Z126" s="404">
        <v>0</v>
      </c>
      <c r="AA126" s="400" t="s">
        <v>2005</v>
      </c>
      <c r="AB126" s="401" t="s">
        <v>1054</v>
      </c>
      <c r="AC126" s="402" t="s">
        <v>1054</v>
      </c>
      <c r="AD126" s="402" t="s">
        <v>1054</v>
      </c>
      <c r="AE126" s="403">
        <v>9999</v>
      </c>
      <c r="AF126" s="404">
        <v>0</v>
      </c>
      <c r="AG126" s="409"/>
      <c r="AH126" s="445">
        <f>IF(TYPE(VLOOKUP(H126,Centrum!$A$3:$E$130,5,0))&lt;4,VLOOKUP(H126,Centrum!$A$3:$E$130,5,0),0)</f>
        <v>0</v>
      </c>
      <c r="AI126" s="405" t="str">
        <f>IF(N($AH126)&gt;0,VLOOKUP($AH126,Body!$A$4:$F$259,5,0),"")</f>
        <v/>
      </c>
      <c r="AJ126" s="406" t="str">
        <f>IF(N($AH126)&gt;0,VLOOKUP($AH126,Body!$A$4:$F$259,6,0),"")</f>
        <v/>
      </c>
      <c r="AK126" s="405" t="str">
        <f>IF(N($AH126)&gt;0,VLOOKUP($AH126,Body!$A$4:$F$259,2,0),"")</f>
        <v/>
      </c>
      <c r="AL126" s="407" t="str">
        <f t="shared" si="48"/>
        <v/>
      </c>
      <c r="AM126" s="408">
        <f t="shared" si="49"/>
        <v>0</v>
      </c>
      <c r="AN126" s="334">
        <f>IF(OR(TYPE(I126)&gt;1,TYPE(MATCH(I126,I127:I$139,0))&gt;1),0,MATCH(I126,I127:I$139,0))+IF(OR(TYPE(I126)&gt;1,TYPE(MATCH(I126,O$11:O$139,0))&gt;1),0,MATCH(I126,O$11:O$139,0))+IF(OR(TYPE(I126)&gt;1,TYPE(MATCH(I126,U$11:U$139,0))&gt;1),0,MATCH(I126,U$11:U$139,0))+IF(OR(TYPE(I126)&gt;1,TYPE(MATCH(I126,AA$11:AA$139,0))&gt;1),0,MATCH(I126,AA$11:AA$139,0))</f>
        <v>0</v>
      </c>
      <c r="AO126" s="334">
        <f>IF(OR(TYPE(O126)&gt;1,TYPE(MATCH(O126,I$11:I$139,0))&gt;1),0,MATCH(O126,I$11:I$139,0))+IF(OR(TYPE(O126)&gt;1,TYPE(MATCH(O126,O127:O$139,0))&gt;1),0,MATCH(O126,O127:O$139,0))+IF(OR(TYPE(O126)&gt;1,TYPE(MATCH(O126,U$11:U$139,0))&gt;1),0,MATCH(O126,U$11:U$139,0))+IF(OR(TYPE(O126)&gt;1,TYPE(MATCH(O126,AA$11:AA$139,0))&gt;1),0,MATCH(O126,AA$11:AA$139,0))</f>
        <v>0</v>
      </c>
      <c r="AP126" s="334">
        <f>IF(OR(TYPE(U126)&gt;1,TYPE(MATCH(U126,I$11:I$139,0))&gt;1),0,MATCH(U126,I$11:I$139,0))+IF(OR(TYPE(U126)&gt;1,TYPE(MATCH(U126,O$11:O$139,0))&gt;1),0,MATCH(U126,O$11:O$139,0))+IF(OR(TYPE(U126)&gt;1,TYPE(MATCH(U126,U127:U$139,0))&gt;1),0,MATCH(U126,U127:U$139,0))+IF(OR(TYPE(U126)&gt;1,TYPE(MATCH(U126,AA$11:AA$139,0))&gt;1),0,MATCH(U126,AA$11:AA$139,0))</f>
        <v>0</v>
      </c>
      <c r="AQ126" s="334">
        <f>IF(OR(TYPE(AA126)&gt;1,TYPE(MATCH(AA126,I$11:I$139,0))&gt;1),0,MATCH(AA126,I$11:I$139,0))+IF(OR(TYPE(AA126)&gt;1,TYPE(MATCH(AA126,O$11:O$139,0))&gt;1),0,MATCH(AA126,O$11:O$139,0))+IF(OR(TYPE(AA126)&gt;1,TYPE(MATCH(AA126,U$11:U$139,0))&gt;1),0,MATCH(U126,U$11:U$139,0))+IF(OR(TYPE(AA126)&gt;1,TYPE(MATCH(AA126,AA127:AA$139,0))&gt;1),0,MATCH(AA126,AA127:AA$139,0))</f>
        <v>0</v>
      </c>
      <c r="AR126" s="334">
        <f t="shared" si="50"/>
        <v>0</v>
      </c>
      <c r="AT126" s="333">
        <f t="shared" si="51"/>
        <v>0</v>
      </c>
      <c r="AU126" s="333">
        <f>IF(AND(N(I126)&gt;0,TYPE(VLOOKUP(I126,Hraci!$A$5:$A$800,1,0))&gt;3),1,0) + IF(AND(N(O126)&gt;0,TYPE(VLOOKUP(O126,Hraci!$A$5:$A$800,1,0))&gt;3),1,0) + IF(AND(N(U126)&gt;0,TYPE(VLOOKUP(U126,Hraci!$A$5:$A$800,1,0))&gt;3),1,0)</f>
        <v>0</v>
      </c>
      <c r="BF126" s="334">
        <f t="shared" si="39"/>
        <v>116</v>
      </c>
    </row>
    <row r="127" spans="1:58" ht="14.25" x14ac:dyDescent="0.3">
      <c r="A127" s="358">
        <f t="shared" si="40"/>
        <v>0</v>
      </c>
      <c r="B127" s="358">
        <f t="shared" si="41"/>
        <v>0</v>
      </c>
      <c r="C127" s="358">
        <f t="shared" si="42"/>
        <v>0</v>
      </c>
      <c r="D127" s="358">
        <f t="shared" si="43"/>
        <v>99999</v>
      </c>
      <c r="E127" s="358">
        <f t="shared" si="44"/>
        <v>9999</v>
      </c>
      <c r="F127" s="359" t="str">
        <f t="shared" ca="1" si="45"/>
        <v>90000000900000990000723566</v>
      </c>
      <c r="G127" s="398" t="b">
        <f t="shared" si="46"/>
        <v>1</v>
      </c>
      <c r="H127" s="399">
        <f t="shared" si="47"/>
        <v>117</v>
      </c>
      <c r="I127" s="400" t="s">
        <v>2005</v>
      </c>
      <c r="J127" s="401" t="s">
        <v>1054</v>
      </c>
      <c r="K127" s="402" t="s">
        <v>1054</v>
      </c>
      <c r="L127" s="402" t="s">
        <v>1054</v>
      </c>
      <c r="M127" s="403">
        <v>9999</v>
      </c>
      <c r="N127" s="404">
        <v>0</v>
      </c>
      <c r="O127" s="400" t="s">
        <v>2005</v>
      </c>
      <c r="P127" s="401" t="s">
        <v>1054</v>
      </c>
      <c r="Q127" s="402" t="s">
        <v>1054</v>
      </c>
      <c r="R127" s="402" t="s">
        <v>1054</v>
      </c>
      <c r="S127" s="403">
        <v>9999</v>
      </c>
      <c r="T127" s="404">
        <v>0</v>
      </c>
      <c r="U127" s="400" t="s">
        <v>2005</v>
      </c>
      <c r="V127" s="401" t="s">
        <v>1054</v>
      </c>
      <c r="W127" s="402" t="s">
        <v>1054</v>
      </c>
      <c r="X127" s="402" t="s">
        <v>1054</v>
      </c>
      <c r="Y127" s="403">
        <v>9999</v>
      </c>
      <c r="Z127" s="404">
        <v>0</v>
      </c>
      <c r="AA127" s="400" t="s">
        <v>2005</v>
      </c>
      <c r="AB127" s="401" t="s">
        <v>1054</v>
      </c>
      <c r="AC127" s="402" t="s">
        <v>1054</v>
      </c>
      <c r="AD127" s="402" t="s">
        <v>1054</v>
      </c>
      <c r="AE127" s="403">
        <v>9999</v>
      </c>
      <c r="AF127" s="404">
        <v>0</v>
      </c>
      <c r="AG127" s="409"/>
      <c r="AH127" s="445">
        <f>IF(TYPE(VLOOKUP(H127,Centrum!$A$3:$E$130,5,0))&lt;4,VLOOKUP(H127,Centrum!$A$3:$E$130,5,0),0)</f>
        <v>0</v>
      </c>
      <c r="AI127" s="405" t="str">
        <f>IF(N($AH127)&gt;0,VLOOKUP($AH127,Body!$A$4:$F$259,5,0),"")</f>
        <v/>
      </c>
      <c r="AJ127" s="406" t="str">
        <f>IF(N($AH127)&gt;0,VLOOKUP($AH127,Body!$A$4:$F$259,6,0),"")</f>
        <v/>
      </c>
      <c r="AK127" s="405" t="str">
        <f>IF(N($AH127)&gt;0,VLOOKUP($AH127,Body!$A$4:$F$259,2,0),"")</f>
        <v/>
      </c>
      <c r="AL127" s="407" t="str">
        <f t="shared" si="48"/>
        <v/>
      </c>
      <c r="AM127" s="408">
        <f t="shared" si="49"/>
        <v>0</v>
      </c>
      <c r="AN127" s="334">
        <f>IF(OR(TYPE(I127)&gt;1,TYPE(MATCH(I127,I128:I$139,0))&gt;1),0,MATCH(I127,I128:I$139,0))+IF(OR(TYPE(I127)&gt;1,TYPE(MATCH(I127,O$11:O$139,0))&gt;1),0,MATCH(I127,O$11:O$139,0))+IF(OR(TYPE(I127)&gt;1,TYPE(MATCH(I127,U$11:U$139,0))&gt;1),0,MATCH(I127,U$11:U$139,0))+IF(OR(TYPE(I127)&gt;1,TYPE(MATCH(I127,AA$11:AA$139,0))&gt;1),0,MATCH(I127,AA$11:AA$139,0))</f>
        <v>0</v>
      </c>
      <c r="AO127" s="334">
        <f>IF(OR(TYPE(O127)&gt;1,TYPE(MATCH(O127,I$11:I$139,0))&gt;1),0,MATCH(O127,I$11:I$139,0))+IF(OR(TYPE(O127)&gt;1,TYPE(MATCH(O127,O128:O$139,0))&gt;1),0,MATCH(O127,O128:O$139,0))+IF(OR(TYPE(O127)&gt;1,TYPE(MATCH(O127,U$11:U$139,0))&gt;1),0,MATCH(O127,U$11:U$139,0))+IF(OR(TYPE(O127)&gt;1,TYPE(MATCH(O127,AA$11:AA$139,0))&gt;1),0,MATCH(O127,AA$11:AA$139,0))</f>
        <v>0</v>
      </c>
      <c r="AP127" s="334">
        <f>IF(OR(TYPE(U127)&gt;1,TYPE(MATCH(U127,I$11:I$139,0))&gt;1),0,MATCH(U127,I$11:I$139,0))+IF(OR(TYPE(U127)&gt;1,TYPE(MATCH(U127,O$11:O$139,0))&gt;1),0,MATCH(U127,O$11:O$139,0))+IF(OR(TYPE(U127)&gt;1,TYPE(MATCH(U127,U128:U$139,0))&gt;1),0,MATCH(U127,U128:U$139,0))+IF(OR(TYPE(U127)&gt;1,TYPE(MATCH(U127,AA$11:AA$139,0))&gt;1),0,MATCH(U127,AA$11:AA$139,0))</f>
        <v>0</v>
      </c>
      <c r="AQ127" s="334">
        <f>IF(OR(TYPE(AA127)&gt;1,TYPE(MATCH(AA127,I$11:I$139,0))&gt;1),0,MATCH(AA127,I$11:I$139,0))+IF(OR(TYPE(AA127)&gt;1,TYPE(MATCH(AA127,O$11:O$139,0))&gt;1),0,MATCH(AA127,O$11:O$139,0))+IF(OR(TYPE(AA127)&gt;1,TYPE(MATCH(AA127,U$11:U$139,0))&gt;1),0,MATCH(U127,U$11:U$139,0))+IF(OR(TYPE(AA127)&gt;1,TYPE(MATCH(AA127,AA128:AA$139,0))&gt;1),0,MATCH(AA127,AA128:AA$139,0))</f>
        <v>0</v>
      </c>
      <c r="AR127" s="334">
        <f t="shared" si="50"/>
        <v>0</v>
      </c>
      <c r="AT127" s="333">
        <f t="shared" si="51"/>
        <v>0</v>
      </c>
      <c r="AU127" s="333">
        <f>IF(AND(N(I127)&gt;0,TYPE(VLOOKUP(I127,Hraci!$A$5:$A$800,1,0))&gt;3),1,0) + IF(AND(N(O127)&gt;0,TYPE(VLOOKUP(O127,Hraci!$A$5:$A$800,1,0))&gt;3),1,0) + IF(AND(N(U127)&gt;0,TYPE(VLOOKUP(U127,Hraci!$A$5:$A$800,1,0))&gt;3),1,0)</f>
        <v>0</v>
      </c>
      <c r="BF127" s="334">
        <f t="shared" si="39"/>
        <v>117</v>
      </c>
    </row>
    <row r="128" spans="1:58" ht="14.25" x14ac:dyDescent="0.3">
      <c r="A128" s="358">
        <f t="shared" si="40"/>
        <v>0</v>
      </c>
      <c r="B128" s="358">
        <f t="shared" si="41"/>
        <v>0</v>
      </c>
      <c r="C128" s="358">
        <f t="shared" si="42"/>
        <v>0</v>
      </c>
      <c r="D128" s="358">
        <f t="shared" si="43"/>
        <v>99999</v>
      </c>
      <c r="E128" s="358">
        <f t="shared" si="44"/>
        <v>9999</v>
      </c>
      <c r="F128" s="359" t="str">
        <f t="shared" ca="1" si="45"/>
        <v>90000000900000990000020299</v>
      </c>
      <c r="G128" s="398" t="b">
        <f t="shared" si="46"/>
        <v>1</v>
      </c>
      <c r="H128" s="399">
        <f t="shared" si="47"/>
        <v>118</v>
      </c>
      <c r="I128" s="400" t="s">
        <v>2005</v>
      </c>
      <c r="J128" s="401" t="s">
        <v>1054</v>
      </c>
      <c r="K128" s="402" t="s">
        <v>1054</v>
      </c>
      <c r="L128" s="402" t="s">
        <v>1054</v>
      </c>
      <c r="M128" s="403">
        <v>9999</v>
      </c>
      <c r="N128" s="404">
        <v>0</v>
      </c>
      <c r="O128" s="400" t="s">
        <v>2005</v>
      </c>
      <c r="P128" s="401" t="s">
        <v>1054</v>
      </c>
      <c r="Q128" s="402" t="s">
        <v>1054</v>
      </c>
      <c r="R128" s="402" t="s">
        <v>1054</v>
      </c>
      <c r="S128" s="403">
        <v>9999</v>
      </c>
      <c r="T128" s="404">
        <v>0</v>
      </c>
      <c r="U128" s="400" t="s">
        <v>2005</v>
      </c>
      <c r="V128" s="401" t="s">
        <v>1054</v>
      </c>
      <c r="W128" s="402" t="s">
        <v>1054</v>
      </c>
      <c r="X128" s="402" t="s">
        <v>1054</v>
      </c>
      <c r="Y128" s="403">
        <v>9999</v>
      </c>
      <c r="Z128" s="404">
        <v>0</v>
      </c>
      <c r="AA128" s="400" t="s">
        <v>2005</v>
      </c>
      <c r="AB128" s="401" t="s">
        <v>1054</v>
      </c>
      <c r="AC128" s="402" t="s">
        <v>1054</v>
      </c>
      <c r="AD128" s="402" t="s">
        <v>1054</v>
      </c>
      <c r="AE128" s="403">
        <v>9999</v>
      </c>
      <c r="AF128" s="404">
        <v>0</v>
      </c>
      <c r="AG128" s="409"/>
      <c r="AH128" s="445">
        <f>IF(TYPE(VLOOKUP(H128,Centrum!$A$3:$E$130,5,0))&lt;4,VLOOKUP(H128,Centrum!$A$3:$E$130,5,0),0)</f>
        <v>0</v>
      </c>
      <c r="AI128" s="405" t="str">
        <f>IF(N($AH128)&gt;0,VLOOKUP($AH128,Body!$A$4:$F$259,5,0),"")</f>
        <v/>
      </c>
      <c r="AJ128" s="406" t="str">
        <f>IF(N($AH128)&gt;0,VLOOKUP($AH128,Body!$A$4:$F$259,6,0),"")</f>
        <v/>
      </c>
      <c r="AK128" s="405" t="str">
        <f>IF(N($AH128)&gt;0,VLOOKUP($AH128,Body!$A$4:$F$259,2,0),"")</f>
        <v/>
      </c>
      <c r="AL128" s="407" t="str">
        <f t="shared" si="48"/>
        <v/>
      </c>
      <c r="AM128" s="408">
        <f t="shared" si="49"/>
        <v>0</v>
      </c>
      <c r="AN128" s="334">
        <f>IF(OR(TYPE(I128)&gt;1,TYPE(MATCH(I128,I129:I$139,0))&gt;1),0,MATCH(I128,I129:I$139,0))+IF(OR(TYPE(I128)&gt;1,TYPE(MATCH(I128,O$11:O$139,0))&gt;1),0,MATCH(I128,O$11:O$139,0))+IF(OR(TYPE(I128)&gt;1,TYPE(MATCH(I128,U$11:U$139,0))&gt;1),0,MATCH(I128,U$11:U$139,0))+IF(OR(TYPE(I128)&gt;1,TYPE(MATCH(I128,AA$11:AA$139,0))&gt;1),0,MATCH(I128,AA$11:AA$139,0))</f>
        <v>0</v>
      </c>
      <c r="AO128" s="334">
        <f>IF(OR(TYPE(O128)&gt;1,TYPE(MATCH(O128,I$11:I$139,0))&gt;1),0,MATCH(O128,I$11:I$139,0))+IF(OR(TYPE(O128)&gt;1,TYPE(MATCH(O128,O129:O$139,0))&gt;1),0,MATCH(O128,O129:O$139,0))+IF(OR(TYPE(O128)&gt;1,TYPE(MATCH(O128,U$11:U$139,0))&gt;1),0,MATCH(O128,U$11:U$139,0))+IF(OR(TYPE(O128)&gt;1,TYPE(MATCH(O128,AA$11:AA$139,0))&gt;1),0,MATCH(O128,AA$11:AA$139,0))</f>
        <v>0</v>
      </c>
      <c r="AP128" s="334">
        <f>IF(OR(TYPE(U128)&gt;1,TYPE(MATCH(U128,I$11:I$139,0))&gt;1),0,MATCH(U128,I$11:I$139,0))+IF(OR(TYPE(U128)&gt;1,TYPE(MATCH(U128,O$11:O$139,0))&gt;1),0,MATCH(U128,O$11:O$139,0))+IF(OR(TYPE(U128)&gt;1,TYPE(MATCH(U128,U129:U$139,0))&gt;1),0,MATCH(U128,U129:U$139,0))+IF(OR(TYPE(U128)&gt;1,TYPE(MATCH(U128,AA$11:AA$139,0))&gt;1),0,MATCH(U128,AA$11:AA$139,0))</f>
        <v>0</v>
      </c>
      <c r="AQ128" s="334">
        <f>IF(OR(TYPE(AA128)&gt;1,TYPE(MATCH(AA128,I$11:I$139,0))&gt;1),0,MATCH(AA128,I$11:I$139,0))+IF(OR(TYPE(AA128)&gt;1,TYPE(MATCH(AA128,O$11:O$139,0))&gt;1),0,MATCH(AA128,O$11:O$139,0))+IF(OR(TYPE(AA128)&gt;1,TYPE(MATCH(AA128,U$11:U$139,0))&gt;1),0,MATCH(U128,U$11:U$139,0))+IF(OR(TYPE(AA128)&gt;1,TYPE(MATCH(AA128,AA129:AA$139,0))&gt;1),0,MATCH(AA128,AA129:AA$139,0))</f>
        <v>0</v>
      </c>
      <c r="AR128" s="334">
        <f t="shared" si="50"/>
        <v>0</v>
      </c>
      <c r="AT128" s="333">
        <f t="shared" si="51"/>
        <v>0</v>
      </c>
      <c r="AU128" s="333">
        <f>IF(AND(N(I128)&gt;0,TYPE(VLOOKUP(I128,Hraci!$A$5:$A$800,1,0))&gt;3),1,0) + IF(AND(N(O128)&gt;0,TYPE(VLOOKUP(O128,Hraci!$A$5:$A$800,1,0))&gt;3),1,0) + IF(AND(N(U128)&gt;0,TYPE(VLOOKUP(U128,Hraci!$A$5:$A$800,1,0))&gt;3),1,0)</f>
        <v>0</v>
      </c>
      <c r="BF128" s="334">
        <f t="shared" si="39"/>
        <v>118</v>
      </c>
    </row>
    <row r="129" spans="1:58" ht="14.25" x14ac:dyDescent="0.3">
      <c r="A129" s="358">
        <f t="shared" si="40"/>
        <v>0</v>
      </c>
      <c r="B129" s="358">
        <f t="shared" si="41"/>
        <v>0</v>
      </c>
      <c r="C129" s="358">
        <f t="shared" si="42"/>
        <v>0</v>
      </c>
      <c r="D129" s="358">
        <f t="shared" si="43"/>
        <v>99999</v>
      </c>
      <c r="E129" s="358">
        <f t="shared" si="44"/>
        <v>9999</v>
      </c>
      <c r="F129" s="359" t="str">
        <f t="shared" ca="1" si="45"/>
        <v>90000000900000990000573959</v>
      </c>
      <c r="G129" s="398" t="b">
        <f t="shared" si="46"/>
        <v>1</v>
      </c>
      <c r="H129" s="399">
        <f t="shared" si="47"/>
        <v>119</v>
      </c>
      <c r="I129" s="400" t="s">
        <v>2005</v>
      </c>
      <c r="J129" s="401" t="s">
        <v>1054</v>
      </c>
      <c r="K129" s="402" t="s">
        <v>1054</v>
      </c>
      <c r="L129" s="402" t="s">
        <v>1054</v>
      </c>
      <c r="M129" s="403">
        <v>9999</v>
      </c>
      <c r="N129" s="404">
        <v>0</v>
      </c>
      <c r="O129" s="400" t="s">
        <v>2005</v>
      </c>
      <c r="P129" s="401" t="s">
        <v>1054</v>
      </c>
      <c r="Q129" s="402" t="s">
        <v>1054</v>
      </c>
      <c r="R129" s="402" t="s">
        <v>1054</v>
      </c>
      <c r="S129" s="403">
        <v>9999</v>
      </c>
      <c r="T129" s="404">
        <v>0</v>
      </c>
      <c r="U129" s="400" t="s">
        <v>2005</v>
      </c>
      <c r="V129" s="401" t="s">
        <v>1054</v>
      </c>
      <c r="W129" s="402" t="s">
        <v>1054</v>
      </c>
      <c r="X129" s="402" t="s">
        <v>1054</v>
      </c>
      <c r="Y129" s="403">
        <v>9999</v>
      </c>
      <c r="Z129" s="404">
        <v>0</v>
      </c>
      <c r="AA129" s="400" t="s">
        <v>2005</v>
      </c>
      <c r="AB129" s="401" t="s">
        <v>1054</v>
      </c>
      <c r="AC129" s="402" t="s">
        <v>1054</v>
      </c>
      <c r="AD129" s="402" t="s">
        <v>1054</v>
      </c>
      <c r="AE129" s="403">
        <v>9999</v>
      </c>
      <c r="AF129" s="404">
        <v>0</v>
      </c>
      <c r="AG129" s="409"/>
      <c r="AH129" s="445">
        <f>IF(TYPE(VLOOKUP(H129,Centrum!$A$3:$E$130,5,0))&lt;4,VLOOKUP(H129,Centrum!$A$3:$E$130,5,0),0)</f>
        <v>0</v>
      </c>
      <c r="AI129" s="405" t="str">
        <f>IF(N($AH129)&gt;0,VLOOKUP($AH129,Body!$A$4:$F$259,5,0),"")</f>
        <v/>
      </c>
      <c r="AJ129" s="406" t="str">
        <f>IF(N($AH129)&gt;0,VLOOKUP($AH129,Body!$A$4:$F$259,6,0),"")</f>
        <v/>
      </c>
      <c r="AK129" s="405" t="str">
        <f>IF(N($AH129)&gt;0,VLOOKUP($AH129,Body!$A$4:$F$259,2,0),"")</f>
        <v/>
      </c>
      <c r="AL129" s="407" t="str">
        <f t="shared" si="48"/>
        <v/>
      </c>
      <c r="AM129" s="408">
        <f t="shared" si="49"/>
        <v>0</v>
      </c>
      <c r="AN129" s="334">
        <f>IF(OR(TYPE(I129)&gt;1,TYPE(MATCH(I129,I130:I$139,0))&gt;1),0,MATCH(I129,I130:I$139,0))+IF(OR(TYPE(I129)&gt;1,TYPE(MATCH(I129,O$11:O$139,0))&gt;1),0,MATCH(I129,O$11:O$139,0))+IF(OR(TYPE(I129)&gt;1,TYPE(MATCH(I129,U$11:U$139,0))&gt;1),0,MATCH(I129,U$11:U$139,0))+IF(OR(TYPE(I129)&gt;1,TYPE(MATCH(I129,AA$11:AA$139,0))&gt;1),0,MATCH(I129,AA$11:AA$139,0))</f>
        <v>0</v>
      </c>
      <c r="AO129" s="334">
        <f>IF(OR(TYPE(O129)&gt;1,TYPE(MATCH(O129,I$11:I$139,0))&gt;1),0,MATCH(O129,I$11:I$139,0))+IF(OR(TYPE(O129)&gt;1,TYPE(MATCH(O129,O130:O$139,0))&gt;1),0,MATCH(O129,O130:O$139,0))+IF(OR(TYPE(O129)&gt;1,TYPE(MATCH(O129,U$11:U$139,0))&gt;1),0,MATCH(O129,U$11:U$139,0))+IF(OR(TYPE(O129)&gt;1,TYPE(MATCH(O129,AA$11:AA$139,0))&gt;1),0,MATCH(O129,AA$11:AA$139,0))</f>
        <v>0</v>
      </c>
      <c r="AP129" s="334">
        <f>IF(OR(TYPE(U129)&gt;1,TYPE(MATCH(U129,I$11:I$139,0))&gt;1),0,MATCH(U129,I$11:I$139,0))+IF(OR(TYPE(U129)&gt;1,TYPE(MATCH(U129,O$11:O$139,0))&gt;1),0,MATCH(U129,O$11:O$139,0))+IF(OR(TYPE(U129)&gt;1,TYPE(MATCH(U129,U130:U$139,0))&gt;1),0,MATCH(U129,U130:U$139,0))+IF(OR(TYPE(U129)&gt;1,TYPE(MATCH(U129,AA$11:AA$139,0))&gt;1),0,MATCH(U129,AA$11:AA$139,0))</f>
        <v>0</v>
      </c>
      <c r="AQ129" s="334">
        <f>IF(OR(TYPE(AA129)&gt;1,TYPE(MATCH(AA129,I$11:I$139,0))&gt;1),0,MATCH(AA129,I$11:I$139,0))+IF(OR(TYPE(AA129)&gt;1,TYPE(MATCH(AA129,O$11:O$139,0))&gt;1),0,MATCH(AA129,O$11:O$139,0))+IF(OR(TYPE(AA129)&gt;1,TYPE(MATCH(AA129,U$11:U$139,0))&gt;1),0,MATCH(U129,U$11:U$139,0))+IF(OR(TYPE(AA129)&gt;1,TYPE(MATCH(AA129,AA130:AA$139,0))&gt;1),0,MATCH(AA129,AA130:AA$139,0))</f>
        <v>0</v>
      </c>
      <c r="AR129" s="334">
        <f t="shared" si="50"/>
        <v>0</v>
      </c>
      <c r="AT129" s="333">
        <f t="shared" si="51"/>
        <v>0</v>
      </c>
      <c r="AU129" s="333">
        <f>IF(AND(N(I129)&gt;0,TYPE(VLOOKUP(I129,Hraci!$A$5:$A$800,1,0))&gt;3),1,0) + IF(AND(N(O129)&gt;0,TYPE(VLOOKUP(O129,Hraci!$A$5:$A$800,1,0))&gt;3),1,0) + IF(AND(N(U129)&gt;0,TYPE(VLOOKUP(U129,Hraci!$A$5:$A$800,1,0))&gt;3),1,0)</f>
        <v>0</v>
      </c>
      <c r="BF129" s="334">
        <f t="shared" si="39"/>
        <v>119</v>
      </c>
    </row>
    <row r="130" spans="1:58" ht="14.25" x14ac:dyDescent="0.3">
      <c r="A130" s="358">
        <f t="shared" si="40"/>
        <v>0</v>
      </c>
      <c r="B130" s="358">
        <f t="shared" si="41"/>
        <v>0</v>
      </c>
      <c r="C130" s="358">
        <f t="shared" si="42"/>
        <v>0</v>
      </c>
      <c r="D130" s="358">
        <f t="shared" si="43"/>
        <v>99999</v>
      </c>
      <c r="E130" s="358">
        <f t="shared" si="44"/>
        <v>9999</v>
      </c>
      <c r="F130" s="359" t="str">
        <f t="shared" ca="1" si="45"/>
        <v>90000000900000990000773572</v>
      </c>
      <c r="G130" s="398" t="b">
        <f t="shared" si="46"/>
        <v>1</v>
      </c>
      <c r="H130" s="399">
        <f t="shared" si="47"/>
        <v>120</v>
      </c>
      <c r="I130" s="400" t="s">
        <v>2005</v>
      </c>
      <c r="J130" s="401" t="s">
        <v>1054</v>
      </c>
      <c r="K130" s="402" t="s">
        <v>1054</v>
      </c>
      <c r="L130" s="402" t="s">
        <v>1054</v>
      </c>
      <c r="M130" s="403">
        <v>9999</v>
      </c>
      <c r="N130" s="404">
        <v>0</v>
      </c>
      <c r="O130" s="400" t="s">
        <v>2005</v>
      </c>
      <c r="P130" s="401" t="s">
        <v>1054</v>
      </c>
      <c r="Q130" s="402" t="s">
        <v>1054</v>
      </c>
      <c r="R130" s="402" t="s">
        <v>1054</v>
      </c>
      <c r="S130" s="403">
        <v>9999</v>
      </c>
      <c r="T130" s="404">
        <v>0</v>
      </c>
      <c r="U130" s="400" t="s">
        <v>2005</v>
      </c>
      <c r="V130" s="401" t="s">
        <v>1054</v>
      </c>
      <c r="W130" s="402" t="s">
        <v>1054</v>
      </c>
      <c r="X130" s="402" t="s">
        <v>1054</v>
      </c>
      <c r="Y130" s="403">
        <v>9999</v>
      </c>
      <c r="Z130" s="404">
        <v>0</v>
      </c>
      <c r="AA130" s="400" t="s">
        <v>2005</v>
      </c>
      <c r="AB130" s="401" t="s">
        <v>1054</v>
      </c>
      <c r="AC130" s="402" t="s">
        <v>1054</v>
      </c>
      <c r="AD130" s="402" t="s">
        <v>1054</v>
      </c>
      <c r="AE130" s="403">
        <v>9999</v>
      </c>
      <c r="AF130" s="404">
        <v>0</v>
      </c>
      <c r="AG130" s="409"/>
      <c r="AH130" s="445">
        <f>IF(TYPE(VLOOKUP(H130,Centrum!$A$3:$E$130,5,0))&lt;4,VLOOKUP(H130,Centrum!$A$3:$E$130,5,0),0)</f>
        <v>0</v>
      </c>
      <c r="AI130" s="405" t="str">
        <f>IF(N($AH130)&gt;0,VLOOKUP($AH130,Body!$A$4:$F$259,5,0),"")</f>
        <v/>
      </c>
      <c r="AJ130" s="406" t="str">
        <f>IF(N($AH130)&gt;0,VLOOKUP($AH130,Body!$A$4:$F$259,6,0),"")</f>
        <v/>
      </c>
      <c r="AK130" s="405" t="str">
        <f>IF(N($AH130)&gt;0,VLOOKUP($AH130,Body!$A$4:$F$259,2,0),"")</f>
        <v/>
      </c>
      <c r="AL130" s="407" t="str">
        <f t="shared" si="48"/>
        <v/>
      </c>
      <c r="AM130" s="408">
        <f t="shared" si="49"/>
        <v>0</v>
      </c>
      <c r="AN130" s="334">
        <f>IF(OR(TYPE(I130)&gt;1,TYPE(MATCH(I130,I131:I$139,0))&gt;1),0,MATCH(I130,I131:I$139,0))+IF(OR(TYPE(I130)&gt;1,TYPE(MATCH(I130,O$11:O$139,0))&gt;1),0,MATCH(I130,O$11:O$139,0))+IF(OR(TYPE(I130)&gt;1,TYPE(MATCH(I130,U$11:U$139,0))&gt;1),0,MATCH(I130,U$11:U$139,0))+IF(OR(TYPE(I130)&gt;1,TYPE(MATCH(I130,AA$11:AA$139,0))&gt;1),0,MATCH(I130,AA$11:AA$139,0))</f>
        <v>0</v>
      </c>
      <c r="AO130" s="334">
        <f>IF(OR(TYPE(O130)&gt;1,TYPE(MATCH(O130,I$11:I$139,0))&gt;1),0,MATCH(O130,I$11:I$139,0))+IF(OR(TYPE(O130)&gt;1,TYPE(MATCH(O130,O131:O$139,0))&gt;1),0,MATCH(O130,O131:O$139,0))+IF(OR(TYPE(O130)&gt;1,TYPE(MATCH(O130,U$11:U$139,0))&gt;1),0,MATCH(O130,U$11:U$139,0))+IF(OR(TYPE(O130)&gt;1,TYPE(MATCH(O130,AA$11:AA$139,0))&gt;1),0,MATCH(O130,AA$11:AA$139,0))</f>
        <v>0</v>
      </c>
      <c r="AP130" s="334">
        <f>IF(OR(TYPE(U130)&gt;1,TYPE(MATCH(U130,I$11:I$139,0))&gt;1),0,MATCH(U130,I$11:I$139,0))+IF(OR(TYPE(U130)&gt;1,TYPE(MATCH(U130,O$11:O$139,0))&gt;1),0,MATCH(U130,O$11:O$139,0))+IF(OR(TYPE(U130)&gt;1,TYPE(MATCH(U130,U131:U$139,0))&gt;1),0,MATCH(U130,U131:U$139,0))+IF(OR(TYPE(U130)&gt;1,TYPE(MATCH(U130,AA$11:AA$139,0))&gt;1),0,MATCH(U130,AA$11:AA$139,0))</f>
        <v>0</v>
      </c>
      <c r="AQ130" s="334">
        <f>IF(OR(TYPE(AA130)&gt;1,TYPE(MATCH(AA130,I$11:I$139,0))&gt;1),0,MATCH(AA130,I$11:I$139,0))+IF(OR(TYPE(AA130)&gt;1,TYPE(MATCH(AA130,O$11:O$139,0))&gt;1),0,MATCH(AA130,O$11:O$139,0))+IF(OR(TYPE(AA130)&gt;1,TYPE(MATCH(AA130,U$11:U$139,0))&gt;1),0,MATCH(U130,U$11:U$139,0))+IF(OR(TYPE(AA130)&gt;1,TYPE(MATCH(AA130,AA131:AA$139,0))&gt;1),0,MATCH(AA130,AA131:AA$139,0))</f>
        <v>0</v>
      </c>
      <c r="AR130" s="334">
        <f t="shared" si="50"/>
        <v>0</v>
      </c>
      <c r="AT130" s="333">
        <f t="shared" si="51"/>
        <v>0</v>
      </c>
      <c r="AU130" s="333">
        <f>IF(AND(N(I130)&gt;0,TYPE(VLOOKUP(I130,Hraci!$A$5:$A$800,1,0))&gt;3),1,0) + IF(AND(N(O130)&gt;0,TYPE(VLOOKUP(O130,Hraci!$A$5:$A$800,1,0))&gt;3),1,0) + IF(AND(N(U130)&gt;0,TYPE(VLOOKUP(U130,Hraci!$A$5:$A$800,1,0))&gt;3),1,0)</f>
        <v>0</v>
      </c>
      <c r="BF130" s="334">
        <f t="shared" si="39"/>
        <v>120</v>
      </c>
    </row>
    <row r="131" spans="1:58" ht="14.25" x14ac:dyDescent="0.3">
      <c r="A131" s="358">
        <f t="shared" si="40"/>
        <v>0</v>
      </c>
      <c r="B131" s="358">
        <f t="shared" si="41"/>
        <v>0</v>
      </c>
      <c r="C131" s="358">
        <f t="shared" si="42"/>
        <v>0</v>
      </c>
      <c r="D131" s="358">
        <f t="shared" si="43"/>
        <v>99999</v>
      </c>
      <c r="E131" s="358">
        <f t="shared" si="44"/>
        <v>9999</v>
      </c>
      <c r="F131" s="359" t="str">
        <f t="shared" ca="1" si="45"/>
        <v>90000000900000990000442991</v>
      </c>
      <c r="G131" s="398" t="b">
        <f t="shared" si="46"/>
        <v>1</v>
      </c>
      <c r="H131" s="399">
        <f t="shared" si="47"/>
        <v>121</v>
      </c>
      <c r="I131" s="400" t="s">
        <v>2005</v>
      </c>
      <c r="J131" s="401" t="s">
        <v>1054</v>
      </c>
      <c r="K131" s="402" t="s">
        <v>1054</v>
      </c>
      <c r="L131" s="402" t="s">
        <v>1054</v>
      </c>
      <c r="M131" s="403">
        <v>9999</v>
      </c>
      <c r="N131" s="404">
        <v>0</v>
      </c>
      <c r="O131" s="400" t="s">
        <v>2005</v>
      </c>
      <c r="P131" s="401" t="s">
        <v>1054</v>
      </c>
      <c r="Q131" s="402" t="s">
        <v>1054</v>
      </c>
      <c r="R131" s="402" t="s">
        <v>1054</v>
      </c>
      <c r="S131" s="403">
        <v>9999</v>
      </c>
      <c r="T131" s="404">
        <v>0</v>
      </c>
      <c r="U131" s="400" t="s">
        <v>2005</v>
      </c>
      <c r="V131" s="401" t="s">
        <v>1054</v>
      </c>
      <c r="W131" s="402" t="s">
        <v>1054</v>
      </c>
      <c r="X131" s="402" t="s">
        <v>1054</v>
      </c>
      <c r="Y131" s="403">
        <v>9999</v>
      </c>
      <c r="Z131" s="404">
        <v>0</v>
      </c>
      <c r="AA131" s="400" t="s">
        <v>2005</v>
      </c>
      <c r="AB131" s="401" t="s">
        <v>1054</v>
      </c>
      <c r="AC131" s="402" t="s">
        <v>1054</v>
      </c>
      <c r="AD131" s="402" t="s">
        <v>1054</v>
      </c>
      <c r="AE131" s="403">
        <v>9999</v>
      </c>
      <c r="AF131" s="404">
        <v>0</v>
      </c>
      <c r="AG131" s="409"/>
      <c r="AH131" s="445">
        <f>IF(TYPE(VLOOKUP(H131,Centrum!$A$3:$E$130,5,0))&lt;4,VLOOKUP(H131,Centrum!$A$3:$E$130,5,0),0)</f>
        <v>0</v>
      </c>
      <c r="AI131" s="405" t="str">
        <f>IF(N($AH131)&gt;0,VLOOKUP($AH131,Body!$A$4:$F$259,5,0),"")</f>
        <v/>
      </c>
      <c r="AJ131" s="406" t="str">
        <f>IF(N($AH131)&gt;0,VLOOKUP($AH131,Body!$A$4:$F$259,6,0),"")</f>
        <v/>
      </c>
      <c r="AK131" s="405" t="str">
        <f>IF(N($AH131)&gt;0,VLOOKUP($AH131,Body!$A$4:$F$259,2,0),"")</f>
        <v/>
      </c>
      <c r="AL131" s="407" t="str">
        <f t="shared" si="48"/>
        <v/>
      </c>
      <c r="AM131" s="408">
        <f t="shared" si="49"/>
        <v>0</v>
      </c>
      <c r="AN131" s="334">
        <f>IF(OR(TYPE(I131)&gt;1,TYPE(MATCH(I131,I132:I$139,0))&gt;1),0,MATCH(I131,I132:I$139,0))+IF(OR(TYPE(I131)&gt;1,TYPE(MATCH(I131,O$11:O$139,0))&gt;1),0,MATCH(I131,O$11:O$139,0))+IF(OR(TYPE(I131)&gt;1,TYPE(MATCH(I131,U$11:U$139,0))&gt;1),0,MATCH(I131,U$11:U$139,0))+IF(OR(TYPE(I131)&gt;1,TYPE(MATCH(I131,AA$11:AA$139,0))&gt;1),0,MATCH(I131,AA$11:AA$139,0))</f>
        <v>0</v>
      </c>
      <c r="AO131" s="334">
        <f>IF(OR(TYPE(O131)&gt;1,TYPE(MATCH(O131,I$11:I$139,0))&gt;1),0,MATCH(O131,I$11:I$139,0))+IF(OR(TYPE(O131)&gt;1,TYPE(MATCH(O131,O132:O$139,0))&gt;1),0,MATCH(O131,O132:O$139,0))+IF(OR(TYPE(O131)&gt;1,TYPE(MATCH(O131,U$11:U$139,0))&gt;1),0,MATCH(O131,U$11:U$139,0))+IF(OR(TYPE(O131)&gt;1,TYPE(MATCH(O131,AA$11:AA$139,0))&gt;1),0,MATCH(O131,AA$11:AA$139,0))</f>
        <v>0</v>
      </c>
      <c r="AP131" s="334">
        <f>IF(OR(TYPE(U131)&gt;1,TYPE(MATCH(U131,I$11:I$139,0))&gt;1),0,MATCH(U131,I$11:I$139,0))+IF(OR(TYPE(U131)&gt;1,TYPE(MATCH(U131,O$11:O$139,0))&gt;1),0,MATCH(U131,O$11:O$139,0))+IF(OR(TYPE(U131)&gt;1,TYPE(MATCH(U131,U132:U$139,0))&gt;1),0,MATCH(U131,U132:U$139,0))+IF(OR(TYPE(U131)&gt;1,TYPE(MATCH(U131,AA$11:AA$139,0))&gt;1),0,MATCH(U131,AA$11:AA$139,0))</f>
        <v>0</v>
      </c>
      <c r="AQ131" s="334">
        <f>IF(OR(TYPE(AA131)&gt;1,TYPE(MATCH(AA131,I$11:I$139,0))&gt;1),0,MATCH(AA131,I$11:I$139,0))+IF(OR(TYPE(AA131)&gt;1,TYPE(MATCH(AA131,O$11:O$139,0))&gt;1),0,MATCH(AA131,O$11:O$139,0))+IF(OR(TYPE(AA131)&gt;1,TYPE(MATCH(AA131,U$11:U$139,0))&gt;1),0,MATCH(U131,U$11:U$139,0))+IF(OR(TYPE(AA131)&gt;1,TYPE(MATCH(AA131,AA132:AA$139,0))&gt;1),0,MATCH(AA131,AA132:AA$139,0))</f>
        <v>0</v>
      </c>
      <c r="AR131" s="334">
        <f t="shared" si="50"/>
        <v>0</v>
      </c>
      <c r="AT131" s="333">
        <f t="shared" si="51"/>
        <v>0</v>
      </c>
      <c r="AU131" s="333">
        <f>IF(AND(N(I131)&gt;0,TYPE(VLOOKUP(I131,Hraci!$A$5:$A$800,1,0))&gt;3),1,0) + IF(AND(N(O131)&gt;0,TYPE(VLOOKUP(O131,Hraci!$A$5:$A$800,1,0))&gt;3),1,0) + IF(AND(N(U131)&gt;0,TYPE(VLOOKUP(U131,Hraci!$A$5:$A$800,1,0))&gt;3),1,0)</f>
        <v>0</v>
      </c>
      <c r="BF131" s="334">
        <f t="shared" si="39"/>
        <v>121</v>
      </c>
    </row>
    <row r="132" spans="1:58" ht="14.25" x14ac:dyDescent="0.3">
      <c r="A132" s="358">
        <f t="shared" si="40"/>
        <v>0</v>
      </c>
      <c r="B132" s="358">
        <f t="shared" si="41"/>
        <v>0</v>
      </c>
      <c r="C132" s="358">
        <f t="shared" si="42"/>
        <v>0</v>
      </c>
      <c r="D132" s="358">
        <f t="shared" si="43"/>
        <v>99999</v>
      </c>
      <c r="E132" s="358">
        <f t="shared" si="44"/>
        <v>9999</v>
      </c>
      <c r="F132" s="359" t="str">
        <f t="shared" ca="1" si="45"/>
        <v>90000000900000990000962810</v>
      </c>
      <c r="G132" s="398" t="b">
        <f t="shared" si="46"/>
        <v>1</v>
      </c>
      <c r="H132" s="399">
        <f t="shared" si="47"/>
        <v>122</v>
      </c>
      <c r="I132" s="400" t="s">
        <v>2005</v>
      </c>
      <c r="J132" s="401" t="s">
        <v>1054</v>
      </c>
      <c r="K132" s="402" t="s">
        <v>1054</v>
      </c>
      <c r="L132" s="402" t="s">
        <v>1054</v>
      </c>
      <c r="M132" s="403">
        <v>9999</v>
      </c>
      <c r="N132" s="404">
        <v>0</v>
      </c>
      <c r="O132" s="400" t="s">
        <v>2005</v>
      </c>
      <c r="P132" s="401" t="s">
        <v>1054</v>
      </c>
      <c r="Q132" s="402" t="s">
        <v>1054</v>
      </c>
      <c r="R132" s="402" t="s">
        <v>1054</v>
      </c>
      <c r="S132" s="403">
        <v>9999</v>
      </c>
      <c r="T132" s="404">
        <v>0</v>
      </c>
      <c r="U132" s="400" t="s">
        <v>2005</v>
      </c>
      <c r="V132" s="401" t="s">
        <v>1054</v>
      </c>
      <c r="W132" s="402" t="s">
        <v>1054</v>
      </c>
      <c r="X132" s="402" t="s">
        <v>1054</v>
      </c>
      <c r="Y132" s="403">
        <v>9999</v>
      </c>
      <c r="Z132" s="404">
        <v>0</v>
      </c>
      <c r="AA132" s="400" t="s">
        <v>2005</v>
      </c>
      <c r="AB132" s="401" t="s">
        <v>1054</v>
      </c>
      <c r="AC132" s="402" t="s">
        <v>1054</v>
      </c>
      <c r="AD132" s="402" t="s">
        <v>1054</v>
      </c>
      <c r="AE132" s="403">
        <v>9999</v>
      </c>
      <c r="AF132" s="404">
        <v>0</v>
      </c>
      <c r="AG132" s="409"/>
      <c r="AH132" s="445">
        <f>IF(TYPE(VLOOKUP(H132,Centrum!$A$3:$E$130,5,0))&lt;4,VLOOKUP(H132,Centrum!$A$3:$E$130,5,0),0)</f>
        <v>0</v>
      </c>
      <c r="AI132" s="405" t="str">
        <f>IF(N($AH132)&gt;0,VLOOKUP($AH132,Body!$A$4:$F$259,5,0),"")</f>
        <v/>
      </c>
      <c r="AJ132" s="406" t="str">
        <f>IF(N($AH132)&gt;0,VLOOKUP($AH132,Body!$A$4:$F$259,6,0),"")</f>
        <v/>
      </c>
      <c r="AK132" s="405" t="str">
        <f>IF(N($AH132)&gt;0,VLOOKUP($AH132,Body!$A$4:$F$259,2,0),"")</f>
        <v/>
      </c>
      <c r="AL132" s="407" t="str">
        <f t="shared" si="48"/>
        <v/>
      </c>
      <c r="AM132" s="408">
        <f t="shared" si="49"/>
        <v>0</v>
      </c>
      <c r="AN132" s="334">
        <f>IF(OR(TYPE(I132)&gt;1,TYPE(MATCH(I132,I133:I$139,0))&gt;1),0,MATCH(I132,I133:I$139,0))+IF(OR(TYPE(I132)&gt;1,TYPE(MATCH(I132,O$11:O$139,0))&gt;1),0,MATCH(I132,O$11:O$139,0))+IF(OR(TYPE(I132)&gt;1,TYPE(MATCH(I132,U$11:U$139,0))&gt;1),0,MATCH(I132,U$11:U$139,0))+IF(OR(TYPE(I132)&gt;1,TYPE(MATCH(I132,AA$11:AA$139,0))&gt;1),0,MATCH(I132,AA$11:AA$139,0))</f>
        <v>0</v>
      </c>
      <c r="AO132" s="334">
        <f>IF(OR(TYPE(O132)&gt;1,TYPE(MATCH(O132,I$11:I$139,0))&gt;1),0,MATCH(O132,I$11:I$139,0))+IF(OR(TYPE(O132)&gt;1,TYPE(MATCH(O132,O133:O$139,0))&gt;1),0,MATCH(O132,O133:O$139,0))+IF(OR(TYPE(O132)&gt;1,TYPE(MATCH(O132,U$11:U$139,0))&gt;1),0,MATCH(O132,U$11:U$139,0))+IF(OR(TYPE(O132)&gt;1,TYPE(MATCH(O132,AA$11:AA$139,0))&gt;1),0,MATCH(O132,AA$11:AA$139,0))</f>
        <v>0</v>
      </c>
      <c r="AP132" s="334">
        <f>IF(OR(TYPE(U132)&gt;1,TYPE(MATCH(U132,I$11:I$139,0))&gt;1),0,MATCH(U132,I$11:I$139,0))+IF(OR(TYPE(U132)&gt;1,TYPE(MATCH(U132,O$11:O$139,0))&gt;1),0,MATCH(U132,O$11:O$139,0))+IF(OR(TYPE(U132)&gt;1,TYPE(MATCH(U132,U133:U$139,0))&gt;1),0,MATCH(U132,U133:U$139,0))+IF(OR(TYPE(U132)&gt;1,TYPE(MATCH(U132,AA$11:AA$139,0))&gt;1),0,MATCH(U132,AA$11:AA$139,0))</f>
        <v>0</v>
      </c>
      <c r="AQ132" s="334">
        <f>IF(OR(TYPE(AA132)&gt;1,TYPE(MATCH(AA132,I$11:I$139,0))&gt;1),0,MATCH(AA132,I$11:I$139,0))+IF(OR(TYPE(AA132)&gt;1,TYPE(MATCH(AA132,O$11:O$139,0))&gt;1),0,MATCH(AA132,O$11:O$139,0))+IF(OR(TYPE(AA132)&gt;1,TYPE(MATCH(AA132,U$11:U$139,0))&gt;1),0,MATCH(U132,U$11:U$139,0))+IF(OR(TYPE(AA132)&gt;1,TYPE(MATCH(AA132,AA133:AA$139,0))&gt;1),0,MATCH(AA132,AA133:AA$139,0))</f>
        <v>0</v>
      </c>
      <c r="AR132" s="334">
        <f t="shared" si="50"/>
        <v>0</v>
      </c>
      <c r="AT132" s="333">
        <f t="shared" si="51"/>
        <v>0</v>
      </c>
      <c r="AU132" s="333">
        <f>IF(AND(N(I132)&gt;0,TYPE(VLOOKUP(I132,Hraci!$A$5:$A$800,1,0))&gt;3),1,0) + IF(AND(N(O132)&gt;0,TYPE(VLOOKUP(O132,Hraci!$A$5:$A$800,1,0))&gt;3),1,0) + IF(AND(N(U132)&gt;0,TYPE(VLOOKUP(U132,Hraci!$A$5:$A$800,1,0))&gt;3),1,0)</f>
        <v>0</v>
      </c>
      <c r="BF132" s="334">
        <f t="shared" si="39"/>
        <v>122</v>
      </c>
    </row>
    <row r="133" spans="1:58" ht="14.25" x14ac:dyDescent="0.3">
      <c r="A133" s="358">
        <f t="shared" si="40"/>
        <v>0</v>
      </c>
      <c r="B133" s="358">
        <f t="shared" si="41"/>
        <v>0</v>
      </c>
      <c r="C133" s="358">
        <f t="shared" si="42"/>
        <v>0</v>
      </c>
      <c r="D133" s="358">
        <f t="shared" si="43"/>
        <v>99999</v>
      </c>
      <c r="E133" s="358">
        <f t="shared" si="44"/>
        <v>9999</v>
      </c>
      <c r="F133" s="359" t="str">
        <f t="shared" ca="1" si="45"/>
        <v>90000000900000990000722017</v>
      </c>
      <c r="G133" s="398" t="b">
        <f t="shared" si="46"/>
        <v>1</v>
      </c>
      <c r="H133" s="399">
        <f t="shared" si="47"/>
        <v>123</v>
      </c>
      <c r="I133" s="400" t="s">
        <v>2005</v>
      </c>
      <c r="J133" s="401" t="s">
        <v>1054</v>
      </c>
      <c r="K133" s="402" t="s">
        <v>1054</v>
      </c>
      <c r="L133" s="402" t="s">
        <v>1054</v>
      </c>
      <c r="M133" s="403">
        <v>9999</v>
      </c>
      <c r="N133" s="404">
        <v>0</v>
      </c>
      <c r="O133" s="400" t="s">
        <v>2005</v>
      </c>
      <c r="P133" s="401" t="s">
        <v>1054</v>
      </c>
      <c r="Q133" s="402" t="s">
        <v>1054</v>
      </c>
      <c r="R133" s="402" t="s">
        <v>1054</v>
      </c>
      <c r="S133" s="403">
        <v>9999</v>
      </c>
      <c r="T133" s="404">
        <v>0</v>
      </c>
      <c r="U133" s="400" t="s">
        <v>2005</v>
      </c>
      <c r="V133" s="401" t="s">
        <v>1054</v>
      </c>
      <c r="W133" s="402" t="s">
        <v>1054</v>
      </c>
      <c r="X133" s="402" t="s">
        <v>1054</v>
      </c>
      <c r="Y133" s="403">
        <v>9999</v>
      </c>
      <c r="Z133" s="404">
        <v>0</v>
      </c>
      <c r="AA133" s="400" t="s">
        <v>2005</v>
      </c>
      <c r="AB133" s="401" t="s">
        <v>1054</v>
      </c>
      <c r="AC133" s="402" t="s">
        <v>1054</v>
      </c>
      <c r="AD133" s="402" t="s">
        <v>1054</v>
      </c>
      <c r="AE133" s="403">
        <v>9999</v>
      </c>
      <c r="AF133" s="404">
        <v>0</v>
      </c>
      <c r="AG133" s="409"/>
      <c r="AH133" s="445">
        <f>IF(TYPE(VLOOKUP(H133,Centrum!$A$3:$E$130,5,0))&lt;4,VLOOKUP(H133,Centrum!$A$3:$E$130,5,0),0)</f>
        <v>0</v>
      </c>
      <c r="AI133" s="405" t="str">
        <f>IF(N($AH133)&gt;0,VLOOKUP($AH133,Body!$A$4:$F$259,5,0),"")</f>
        <v/>
      </c>
      <c r="AJ133" s="406" t="str">
        <f>IF(N($AH133)&gt;0,VLOOKUP($AH133,Body!$A$4:$F$259,6,0),"")</f>
        <v/>
      </c>
      <c r="AK133" s="405" t="str">
        <f>IF(N($AH133)&gt;0,VLOOKUP($AH133,Body!$A$4:$F$259,2,0),"")</f>
        <v/>
      </c>
      <c r="AL133" s="407" t="str">
        <f t="shared" si="48"/>
        <v/>
      </c>
      <c r="AM133" s="408">
        <f t="shared" si="49"/>
        <v>0</v>
      </c>
      <c r="AN133" s="334">
        <f>IF(OR(TYPE(I133)&gt;1,TYPE(MATCH(I133,I134:I$139,0))&gt;1),0,MATCH(I133,I134:I$139,0))+IF(OR(TYPE(I133)&gt;1,TYPE(MATCH(I133,O$11:O$139,0))&gt;1),0,MATCH(I133,O$11:O$139,0))+IF(OR(TYPE(I133)&gt;1,TYPE(MATCH(I133,U$11:U$139,0))&gt;1),0,MATCH(I133,U$11:U$139,0))+IF(OR(TYPE(I133)&gt;1,TYPE(MATCH(I133,AA$11:AA$139,0))&gt;1),0,MATCH(I133,AA$11:AA$139,0))</f>
        <v>0</v>
      </c>
      <c r="AO133" s="334">
        <f>IF(OR(TYPE(O133)&gt;1,TYPE(MATCH(O133,I$11:I$139,0))&gt;1),0,MATCH(O133,I$11:I$139,0))+IF(OR(TYPE(O133)&gt;1,TYPE(MATCH(O133,O134:O$139,0))&gt;1),0,MATCH(O133,O134:O$139,0))+IF(OR(TYPE(O133)&gt;1,TYPE(MATCH(O133,U$11:U$139,0))&gt;1),0,MATCH(O133,U$11:U$139,0))+IF(OR(TYPE(O133)&gt;1,TYPE(MATCH(O133,AA$11:AA$139,0))&gt;1),0,MATCH(O133,AA$11:AA$139,0))</f>
        <v>0</v>
      </c>
      <c r="AP133" s="334">
        <f>IF(OR(TYPE(U133)&gt;1,TYPE(MATCH(U133,I$11:I$139,0))&gt;1),0,MATCH(U133,I$11:I$139,0))+IF(OR(TYPE(U133)&gt;1,TYPE(MATCH(U133,O$11:O$139,0))&gt;1),0,MATCH(U133,O$11:O$139,0))+IF(OR(TYPE(U133)&gt;1,TYPE(MATCH(U133,U134:U$139,0))&gt;1),0,MATCH(U133,U134:U$139,0))+IF(OR(TYPE(U133)&gt;1,TYPE(MATCH(U133,AA$11:AA$139,0))&gt;1),0,MATCH(U133,AA$11:AA$139,0))</f>
        <v>0</v>
      </c>
      <c r="AQ133" s="334">
        <f>IF(OR(TYPE(AA133)&gt;1,TYPE(MATCH(AA133,I$11:I$139,0))&gt;1),0,MATCH(AA133,I$11:I$139,0))+IF(OR(TYPE(AA133)&gt;1,TYPE(MATCH(AA133,O$11:O$139,0))&gt;1),0,MATCH(AA133,O$11:O$139,0))+IF(OR(TYPE(AA133)&gt;1,TYPE(MATCH(AA133,U$11:U$139,0))&gt;1),0,MATCH(U133,U$11:U$139,0))+IF(OR(TYPE(AA133)&gt;1,TYPE(MATCH(AA133,AA134:AA$139,0))&gt;1),0,MATCH(AA133,AA134:AA$139,0))</f>
        <v>0</v>
      </c>
      <c r="AR133" s="334">
        <f t="shared" si="50"/>
        <v>0</v>
      </c>
      <c r="AT133" s="333">
        <f t="shared" si="51"/>
        <v>0</v>
      </c>
      <c r="AU133" s="333">
        <f>IF(AND(N(I133)&gt;0,TYPE(VLOOKUP(I133,Hraci!$A$5:$A$800,1,0))&gt;3),1,0) + IF(AND(N(O133)&gt;0,TYPE(VLOOKUP(O133,Hraci!$A$5:$A$800,1,0))&gt;3),1,0) + IF(AND(N(U133)&gt;0,TYPE(VLOOKUP(U133,Hraci!$A$5:$A$800,1,0))&gt;3),1,0)</f>
        <v>0</v>
      </c>
      <c r="BF133" s="334">
        <f t="shared" si="39"/>
        <v>123</v>
      </c>
    </row>
    <row r="134" spans="1:58" ht="14.25" x14ac:dyDescent="0.3">
      <c r="A134" s="358">
        <f t="shared" si="40"/>
        <v>0</v>
      </c>
      <c r="B134" s="358">
        <f t="shared" si="41"/>
        <v>0</v>
      </c>
      <c r="C134" s="358">
        <f t="shared" si="42"/>
        <v>0</v>
      </c>
      <c r="D134" s="358">
        <f t="shared" si="43"/>
        <v>99999</v>
      </c>
      <c r="E134" s="358">
        <f t="shared" si="44"/>
        <v>9999</v>
      </c>
      <c r="F134" s="359" t="str">
        <f t="shared" ca="1" si="45"/>
        <v>90000000900000990000112526</v>
      </c>
      <c r="G134" s="398" t="b">
        <f t="shared" si="46"/>
        <v>1</v>
      </c>
      <c r="H134" s="399">
        <f t="shared" si="47"/>
        <v>124</v>
      </c>
      <c r="I134" s="400" t="s">
        <v>2005</v>
      </c>
      <c r="J134" s="401" t="s">
        <v>1054</v>
      </c>
      <c r="K134" s="402" t="s">
        <v>1054</v>
      </c>
      <c r="L134" s="402" t="s">
        <v>1054</v>
      </c>
      <c r="M134" s="403">
        <v>9999</v>
      </c>
      <c r="N134" s="404">
        <v>0</v>
      </c>
      <c r="O134" s="400" t="s">
        <v>2005</v>
      </c>
      <c r="P134" s="401" t="s">
        <v>1054</v>
      </c>
      <c r="Q134" s="402" t="s">
        <v>1054</v>
      </c>
      <c r="R134" s="402" t="s">
        <v>1054</v>
      </c>
      <c r="S134" s="403">
        <v>9999</v>
      </c>
      <c r="T134" s="404">
        <v>0</v>
      </c>
      <c r="U134" s="400" t="s">
        <v>2005</v>
      </c>
      <c r="V134" s="401" t="s">
        <v>1054</v>
      </c>
      <c r="W134" s="402" t="s">
        <v>1054</v>
      </c>
      <c r="X134" s="402" t="s">
        <v>1054</v>
      </c>
      <c r="Y134" s="403">
        <v>9999</v>
      </c>
      <c r="Z134" s="404">
        <v>0</v>
      </c>
      <c r="AA134" s="400" t="s">
        <v>2005</v>
      </c>
      <c r="AB134" s="401" t="s">
        <v>1054</v>
      </c>
      <c r="AC134" s="402" t="s">
        <v>1054</v>
      </c>
      <c r="AD134" s="402" t="s">
        <v>1054</v>
      </c>
      <c r="AE134" s="403">
        <v>9999</v>
      </c>
      <c r="AF134" s="404">
        <v>0</v>
      </c>
      <c r="AG134" s="409"/>
      <c r="AH134" s="445">
        <f>IF(TYPE(VLOOKUP(H134,Centrum!$A$3:$E$130,5,0))&lt;4,VLOOKUP(H134,Centrum!$A$3:$E$130,5,0),0)</f>
        <v>0</v>
      </c>
      <c r="AI134" s="405" t="str">
        <f>IF(N($AH134)&gt;0,VLOOKUP($AH134,Body!$A$4:$F$259,5,0),"")</f>
        <v/>
      </c>
      <c r="AJ134" s="406" t="str">
        <f>IF(N($AH134)&gt;0,VLOOKUP($AH134,Body!$A$4:$F$259,6,0),"")</f>
        <v/>
      </c>
      <c r="AK134" s="405" t="str">
        <f>IF(N($AH134)&gt;0,VLOOKUP($AH134,Body!$A$4:$F$259,2,0),"")</f>
        <v/>
      </c>
      <c r="AL134" s="407" t="str">
        <f t="shared" si="48"/>
        <v/>
      </c>
      <c r="AM134" s="408">
        <f t="shared" si="49"/>
        <v>0</v>
      </c>
      <c r="AN134" s="334">
        <f>IF(OR(TYPE(I134)&gt;1,TYPE(MATCH(I134,I135:I$139,0))&gt;1),0,MATCH(I134,I135:I$139,0))+IF(OR(TYPE(I134)&gt;1,TYPE(MATCH(I134,O$11:O$139,0))&gt;1),0,MATCH(I134,O$11:O$139,0))+IF(OR(TYPE(I134)&gt;1,TYPE(MATCH(I134,U$11:U$139,0))&gt;1),0,MATCH(I134,U$11:U$139,0))+IF(OR(TYPE(I134)&gt;1,TYPE(MATCH(I134,AA$11:AA$139,0))&gt;1),0,MATCH(I134,AA$11:AA$139,0))</f>
        <v>0</v>
      </c>
      <c r="AO134" s="334">
        <f>IF(OR(TYPE(O134)&gt;1,TYPE(MATCH(O134,I$11:I$139,0))&gt;1),0,MATCH(O134,I$11:I$139,0))+IF(OR(TYPE(O134)&gt;1,TYPE(MATCH(O134,O135:O$139,0))&gt;1),0,MATCH(O134,O135:O$139,0))+IF(OR(TYPE(O134)&gt;1,TYPE(MATCH(O134,U$11:U$139,0))&gt;1),0,MATCH(O134,U$11:U$139,0))+IF(OR(TYPE(O134)&gt;1,TYPE(MATCH(O134,AA$11:AA$139,0))&gt;1),0,MATCH(O134,AA$11:AA$139,0))</f>
        <v>0</v>
      </c>
      <c r="AP134" s="334">
        <f>IF(OR(TYPE(U134)&gt;1,TYPE(MATCH(U134,I$11:I$139,0))&gt;1),0,MATCH(U134,I$11:I$139,0))+IF(OR(TYPE(U134)&gt;1,TYPE(MATCH(U134,O$11:O$139,0))&gt;1),0,MATCH(U134,O$11:O$139,0))+IF(OR(TYPE(U134)&gt;1,TYPE(MATCH(U134,U135:U$139,0))&gt;1),0,MATCH(U134,U135:U$139,0))+IF(OR(TYPE(U134)&gt;1,TYPE(MATCH(U134,AA$11:AA$139,0))&gt;1),0,MATCH(U134,AA$11:AA$139,0))</f>
        <v>0</v>
      </c>
      <c r="AQ134" s="334">
        <f>IF(OR(TYPE(AA134)&gt;1,TYPE(MATCH(AA134,I$11:I$139,0))&gt;1),0,MATCH(AA134,I$11:I$139,0))+IF(OR(TYPE(AA134)&gt;1,TYPE(MATCH(AA134,O$11:O$139,0))&gt;1),0,MATCH(AA134,O$11:O$139,0))+IF(OR(TYPE(AA134)&gt;1,TYPE(MATCH(AA134,U$11:U$139,0))&gt;1),0,MATCH(U134,U$11:U$139,0))+IF(OR(TYPE(AA134)&gt;1,TYPE(MATCH(AA134,AA135:AA$139,0))&gt;1),0,MATCH(AA134,AA135:AA$139,0))</f>
        <v>0</v>
      </c>
      <c r="AR134" s="334">
        <f t="shared" si="50"/>
        <v>0</v>
      </c>
      <c r="AT134" s="333">
        <f t="shared" si="51"/>
        <v>0</v>
      </c>
      <c r="AU134" s="333">
        <f>IF(AND(N(I134)&gt;0,TYPE(VLOOKUP(I134,Hraci!$A$5:$A$800,1,0))&gt;3),1,0) + IF(AND(N(O134)&gt;0,TYPE(VLOOKUP(O134,Hraci!$A$5:$A$800,1,0))&gt;3),1,0) + IF(AND(N(U134)&gt;0,TYPE(VLOOKUP(U134,Hraci!$A$5:$A$800,1,0))&gt;3),1,0)</f>
        <v>0</v>
      </c>
      <c r="BF134" s="334">
        <f t="shared" si="39"/>
        <v>124</v>
      </c>
    </row>
    <row r="135" spans="1:58" ht="14.25" x14ac:dyDescent="0.3">
      <c r="A135" s="358">
        <f t="shared" si="40"/>
        <v>0</v>
      </c>
      <c r="B135" s="358">
        <f t="shared" si="41"/>
        <v>0</v>
      </c>
      <c r="C135" s="358">
        <f t="shared" si="42"/>
        <v>0</v>
      </c>
      <c r="D135" s="358">
        <f t="shared" si="43"/>
        <v>99999</v>
      </c>
      <c r="E135" s="358">
        <f t="shared" si="44"/>
        <v>9999</v>
      </c>
      <c r="F135" s="359" t="str">
        <f t="shared" ca="1" si="45"/>
        <v>90000000900000990000306535</v>
      </c>
      <c r="G135" s="398" t="b">
        <f t="shared" si="46"/>
        <v>1</v>
      </c>
      <c r="H135" s="399">
        <f t="shared" si="47"/>
        <v>125</v>
      </c>
      <c r="I135" s="400" t="s">
        <v>2005</v>
      </c>
      <c r="J135" s="401" t="s">
        <v>1054</v>
      </c>
      <c r="K135" s="402" t="s">
        <v>1054</v>
      </c>
      <c r="L135" s="402" t="s">
        <v>1054</v>
      </c>
      <c r="M135" s="403">
        <v>9999</v>
      </c>
      <c r="N135" s="404">
        <v>0</v>
      </c>
      <c r="O135" s="400" t="s">
        <v>2005</v>
      </c>
      <c r="P135" s="401" t="s">
        <v>1054</v>
      </c>
      <c r="Q135" s="402" t="s">
        <v>1054</v>
      </c>
      <c r="R135" s="402" t="s">
        <v>1054</v>
      </c>
      <c r="S135" s="403">
        <v>9999</v>
      </c>
      <c r="T135" s="404">
        <v>0</v>
      </c>
      <c r="U135" s="400" t="s">
        <v>2005</v>
      </c>
      <c r="V135" s="401" t="s">
        <v>1054</v>
      </c>
      <c r="W135" s="402" t="s">
        <v>1054</v>
      </c>
      <c r="X135" s="402" t="s">
        <v>1054</v>
      </c>
      <c r="Y135" s="403">
        <v>9999</v>
      </c>
      <c r="Z135" s="404">
        <v>0</v>
      </c>
      <c r="AA135" s="400" t="s">
        <v>2005</v>
      </c>
      <c r="AB135" s="401" t="s">
        <v>1054</v>
      </c>
      <c r="AC135" s="402" t="s">
        <v>1054</v>
      </c>
      <c r="AD135" s="402" t="s">
        <v>1054</v>
      </c>
      <c r="AE135" s="403">
        <v>9999</v>
      </c>
      <c r="AF135" s="404">
        <v>0</v>
      </c>
      <c r="AG135" s="409"/>
      <c r="AH135" s="445">
        <f>IF(TYPE(VLOOKUP(H135,Centrum!$A$3:$E$130,5,0))&lt;4,VLOOKUP(H135,Centrum!$A$3:$E$130,5,0),0)</f>
        <v>0</v>
      </c>
      <c r="AI135" s="405" t="str">
        <f>IF(N($AH135)&gt;0,VLOOKUP($AH135,Body!$A$4:$F$259,5,0),"")</f>
        <v/>
      </c>
      <c r="AJ135" s="406" t="str">
        <f>IF(N($AH135)&gt;0,VLOOKUP($AH135,Body!$A$4:$F$259,6,0),"")</f>
        <v/>
      </c>
      <c r="AK135" s="405" t="str">
        <f>IF(N($AH135)&gt;0,VLOOKUP($AH135,Body!$A$4:$F$259,2,0),"")</f>
        <v/>
      </c>
      <c r="AL135" s="407" t="str">
        <f t="shared" si="48"/>
        <v/>
      </c>
      <c r="AM135" s="408">
        <f t="shared" si="49"/>
        <v>0</v>
      </c>
      <c r="AN135" s="334">
        <f>IF(OR(TYPE(I135)&gt;1,TYPE(MATCH(I135,I136:I$139,0))&gt;1),0,MATCH(I135,I136:I$139,0))+IF(OR(TYPE(I135)&gt;1,TYPE(MATCH(I135,O$11:O$139,0))&gt;1),0,MATCH(I135,O$11:O$139,0))+IF(OR(TYPE(I135)&gt;1,TYPE(MATCH(I135,U$11:U$139,0))&gt;1),0,MATCH(I135,U$11:U$139,0))+IF(OR(TYPE(I135)&gt;1,TYPE(MATCH(I135,AA$11:AA$139,0))&gt;1),0,MATCH(I135,AA$11:AA$139,0))</f>
        <v>0</v>
      </c>
      <c r="AO135" s="334">
        <f>IF(OR(TYPE(O135)&gt;1,TYPE(MATCH(O135,I$11:I$139,0))&gt;1),0,MATCH(O135,I$11:I$139,0))+IF(OR(TYPE(O135)&gt;1,TYPE(MATCH(O135,O136:O$139,0))&gt;1),0,MATCH(O135,O136:O$139,0))+IF(OR(TYPE(O135)&gt;1,TYPE(MATCH(O135,U$11:U$139,0))&gt;1),0,MATCH(O135,U$11:U$139,0))+IF(OR(TYPE(O135)&gt;1,TYPE(MATCH(O135,AA$11:AA$139,0))&gt;1),0,MATCH(O135,AA$11:AA$139,0))</f>
        <v>0</v>
      </c>
      <c r="AP135" s="334">
        <f>IF(OR(TYPE(U135)&gt;1,TYPE(MATCH(U135,I$11:I$139,0))&gt;1),0,MATCH(U135,I$11:I$139,0))+IF(OR(TYPE(U135)&gt;1,TYPE(MATCH(U135,O$11:O$139,0))&gt;1),0,MATCH(U135,O$11:O$139,0))+IF(OR(TYPE(U135)&gt;1,TYPE(MATCH(U135,U136:U$139,0))&gt;1),0,MATCH(U135,U136:U$139,0))+IF(OR(TYPE(U135)&gt;1,TYPE(MATCH(U135,AA$11:AA$139,0))&gt;1),0,MATCH(U135,AA$11:AA$139,0))</f>
        <v>0</v>
      </c>
      <c r="AQ135" s="334">
        <f>IF(OR(TYPE(AA135)&gt;1,TYPE(MATCH(AA135,I$11:I$139,0))&gt;1),0,MATCH(AA135,I$11:I$139,0))+IF(OR(TYPE(AA135)&gt;1,TYPE(MATCH(AA135,O$11:O$139,0))&gt;1),0,MATCH(AA135,O$11:O$139,0))+IF(OR(TYPE(AA135)&gt;1,TYPE(MATCH(AA135,U$11:U$139,0))&gt;1),0,MATCH(U135,U$11:U$139,0))+IF(OR(TYPE(AA135)&gt;1,TYPE(MATCH(AA135,AA136:AA$139,0))&gt;1),0,MATCH(AA135,AA136:AA$139,0))</f>
        <v>0</v>
      </c>
      <c r="AR135" s="334">
        <f t="shared" si="50"/>
        <v>0</v>
      </c>
      <c r="AT135" s="333">
        <f t="shared" si="51"/>
        <v>0</v>
      </c>
      <c r="AU135" s="333">
        <f>IF(AND(N(I135)&gt;0,TYPE(VLOOKUP(I135,Hraci!$A$5:$A$800,1,0))&gt;3),1,0) + IF(AND(N(O135)&gt;0,TYPE(VLOOKUP(O135,Hraci!$A$5:$A$800,1,0))&gt;3),1,0) + IF(AND(N(U135)&gt;0,TYPE(VLOOKUP(U135,Hraci!$A$5:$A$800,1,0))&gt;3),1,0)</f>
        <v>0</v>
      </c>
      <c r="BF135" s="334">
        <f t="shared" si="39"/>
        <v>125</v>
      </c>
    </row>
    <row r="136" spans="1:58" ht="14.25" x14ac:dyDescent="0.3">
      <c r="A136" s="358">
        <f t="shared" si="40"/>
        <v>0</v>
      </c>
      <c r="B136" s="358">
        <f t="shared" si="41"/>
        <v>0</v>
      </c>
      <c r="C136" s="358">
        <f t="shared" si="42"/>
        <v>0</v>
      </c>
      <c r="D136" s="358">
        <f t="shared" si="43"/>
        <v>99999</v>
      </c>
      <c r="E136" s="358">
        <f t="shared" si="44"/>
        <v>9999</v>
      </c>
      <c r="F136" s="359" t="str">
        <f t="shared" ca="1" si="45"/>
        <v>90000000900000990000386963</v>
      </c>
      <c r="G136" s="398" t="b">
        <f t="shared" si="46"/>
        <v>1</v>
      </c>
      <c r="H136" s="399">
        <f t="shared" si="47"/>
        <v>126</v>
      </c>
      <c r="I136" s="400" t="s">
        <v>2005</v>
      </c>
      <c r="J136" s="401" t="s">
        <v>1054</v>
      </c>
      <c r="K136" s="402" t="s">
        <v>1054</v>
      </c>
      <c r="L136" s="402" t="s">
        <v>1054</v>
      </c>
      <c r="M136" s="403">
        <v>9999</v>
      </c>
      <c r="N136" s="404">
        <v>0</v>
      </c>
      <c r="O136" s="400" t="s">
        <v>2005</v>
      </c>
      <c r="P136" s="401" t="s">
        <v>1054</v>
      </c>
      <c r="Q136" s="402" t="s">
        <v>1054</v>
      </c>
      <c r="R136" s="402" t="s">
        <v>1054</v>
      </c>
      <c r="S136" s="403">
        <v>9999</v>
      </c>
      <c r="T136" s="404">
        <v>0</v>
      </c>
      <c r="U136" s="400" t="s">
        <v>2005</v>
      </c>
      <c r="V136" s="401" t="s">
        <v>1054</v>
      </c>
      <c r="W136" s="402" t="s">
        <v>1054</v>
      </c>
      <c r="X136" s="402" t="s">
        <v>1054</v>
      </c>
      <c r="Y136" s="403">
        <v>9999</v>
      </c>
      <c r="Z136" s="404">
        <v>0</v>
      </c>
      <c r="AA136" s="400" t="s">
        <v>2005</v>
      </c>
      <c r="AB136" s="401" t="s">
        <v>1054</v>
      </c>
      <c r="AC136" s="402" t="s">
        <v>1054</v>
      </c>
      <c r="AD136" s="402" t="s">
        <v>1054</v>
      </c>
      <c r="AE136" s="403">
        <v>9999</v>
      </c>
      <c r="AF136" s="404">
        <v>0</v>
      </c>
      <c r="AG136" s="409"/>
      <c r="AH136" s="445">
        <f>IF(TYPE(VLOOKUP(H136,Centrum!$A$3:$E$130,5,0))&lt;4,VLOOKUP(H136,Centrum!$A$3:$E$130,5,0),0)</f>
        <v>0</v>
      </c>
      <c r="AI136" s="405" t="str">
        <f>IF(N($AH136)&gt;0,VLOOKUP($AH136,Body!$A$4:$F$259,5,0),"")</f>
        <v/>
      </c>
      <c r="AJ136" s="406" t="str">
        <f>IF(N($AH136)&gt;0,VLOOKUP($AH136,Body!$A$4:$F$259,6,0),"")</f>
        <v/>
      </c>
      <c r="AK136" s="405" t="str">
        <f>IF(N($AH136)&gt;0,VLOOKUP($AH136,Body!$A$4:$F$259,2,0),"")</f>
        <v/>
      </c>
      <c r="AL136" s="407" t="str">
        <f t="shared" si="48"/>
        <v/>
      </c>
      <c r="AM136" s="408">
        <f t="shared" si="49"/>
        <v>0</v>
      </c>
      <c r="AN136" s="334">
        <f>IF(OR(TYPE(I136)&gt;1,TYPE(MATCH(I136,I137:I$139,0))&gt;1),0,MATCH(I136,I137:I$139,0))+IF(OR(TYPE(I136)&gt;1,TYPE(MATCH(I136,O$11:O$139,0))&gt;1),0,MATCH(I136,O$11:O$139,0))+IF(OR(TYPE(I136)&gt;1,TYPE(MATCH(I136,U$11:U$139,0))&gt;1),0,MATCH(I136,U$11:U$139,0))+IF(OR(TYPE(I136)&gt;1,TYPE(MATCH(I136,AA$11:AA$139,0))&gt;1),0,MATCH(I136,AA$11:AA$139,0))</f>
        <v>0</v>
      </c>
      <c r="AO136" s="334">
        <f>IF(OR(TYPE(O136)&gt;1,TYPE(MATCH(O136,I$11:I$139,0))&gt;1),0,MATCH(O136,I$11:I$139,0))+IF(OR(TYPE(O136)&gt;1,TYPE(MATCH(O136,O137:O$139,0))&gt;1),0,MATCH(O136,O137:O$139,0))+IF(OR(TYPE(O136)&gt;1,TYPE(MATCH(O136,U$11:U$139,0))&gt;1),0,MATCH(O136,U$11:U$139,0))+IF(OR(TYPE(O136)&gt;1,TYPE(MATCH(O136,AA$11:AA$139,0))&gt;1),0,MATCH(O136,AA$11:AA$139,0))</f>
        <v>0</v>
      </c>
      <c r="AP136" s="334">
        <f>IF(OR(TYPE(U136)&gt;1,TYPE(MATCH(U136,I$11:I$139,0))&gt;1),0,MATCH(U136,I$11:I$139,0))+IF(OR(TYPE(U136)&gt;1,TYPE(MATCH(U136,O$11:O$139,0))&gt;1),0,MATCH(U136,O$11:O$139,0))+IF(OR(TYPE(U136)&gt;1,TYPE(MATCH(U136,U137:U$139,0))&gt;1),0,MATCH(U136,U137:U$139,0))+IF(OR(TYPE(U136)&gt;1,TYPE(MATCH(U136,AA$11:AA$139,0))&gt;1),0,MATCH(U136,AA$11:AA$139,0))</f>
        <v>0</v>
      </c>
      <c r="AQ136" s="334">
        <f>IF(OR(TYPE(AA136)&gt;1,TYPE(MATCH(AA136,I$11:I$139,0))&gt;1),0,MATCH(AA136,I$11:I$139,0))+IF(OR(TYPE(AA136)&gt;1,TYPE(MATCH(AA136,O$11:O$139,0))&gt;1),0,MATCH(AA136,O$11:O$139,0))+IF(OR(TYPE(AA136)&gt;1,TYPE(MATCH(AA136,U$11:U$139,0))&gt;1),0,MATCH(U136,U$11:U$139,0))+IF(OR(TYPE(AA136)&gt;1,TYPE(MATCH(AA136,AA137:AA$139,0))&gt;1),0,MATCH(AA136,AA137:AA$139,0))</f>
        <v>0</v>
      </c>
      <c r="AR136" s="334">
        <f t="shared" si="50"/>
        <v>0</v>
      </c>
      <c r="AT136" s="333">
        <f t="shared" si="51"/>
        <v>0</v>
      </c>
      <c r="AU136" s="333">
        <f>IF(AND(N(I136)&gt;0,TYPE(VLOOKUP(I136,Hraci!$A$5:$A$800,1,0))&gt;3),1,0) + IF(AND(N(O136)&gt;0,TYPE(VLOOKUP(O136,Hraci!$A$5:$A$800,1,0))&gt;3),1,0) + IF(AND(N(U136)&gt;0,TYPE(VLOOKUP(U136,Hraci!$A$5:$A$800,1,0))&gt;3),1,0)</f>
        <v>0</v>
      </c>
      <c r="BF136" s="334">
        <f t="shared" si="39"/>
        <v>126</v>
      </c>
    </row>
    <row r="137" spans="1:58" ht="14.25" x14ac:dyDescent="0.3">
      <c r="A137" s="358">
        <f t="shared" si="40"/>
        <v>0</v>
      </c>
      <c r="B137" s="358">
        <f t="shared" si="41"/>
        <v>0</v>
      </c>
      <c r="C137" s="358">
        <f t="shared" si="42"/>
        <v>0</v>
      </c>
      <c r="D137" s="358">
        <f t="shared" si="43"/>
        <v>99999</v>
      </c>
      <c r="E137" s="358">
        <f t="shared" si="44"/>
        <v>9999</v>
      </c>
      <c r="F137" s="359" t="str">
        <f t="shared" ca="1" si="45"/>
        <v>90000000900000990000414216</v>
      </c>
      <c r="G137" s="398" t="b">
        <f t="shared" si="46"/>
        <v>1</v>
      </c>
      <c r="H137" s="399">
        <f t="shared" si="47"/>
        <v>127</v>
      </c>
      <c r="I137" s="400" t="s">
        <v>2005</v>
      </c>
      <c r="J137" s="401" t="s">
        <v>1054</v>
      </c>
      <c r="K137" s="402" t="s">
        <v>1054</v>
      </c>
      <c r="L137" s="402" t="s">
        <v>1054</v>
      </c>
      <c r="M137" s="403">
        <v>9999</v>
      </c>
      <c r="N137" s="404">
        <v>0</v>
      </c>
      <c r="O137" s="400" t="s">
        <v>2005</v>
      </c>
      <c r="P137" s="401" t="s">
        <v>1054</v>
      </c>
      <c r="Q137" s="402" t="s">
        <v>1054</v>
      </c>
      <c r="R137" s="402" t="s">
        <v>1054</v>
      </c>
      <c r="S137" s="403">
        <v>9999</v>
      </c>
      <c r="T137" s="404">
        <v>0</v>
      </c>
      <c r="U137" s="400" t="s">
        <v>2005</v>
      </c>
      <c r="V137" s="401" t="s">
        <v>1054</v>
      </c>
      <c r="W137" s="402" t="s">
        <v>1054</v>
      </c>
      <c r="X137" s="402" t="s">
        <v>1054</v>
      </c>
      <c r="Y137" s="403">
        <v>9999</v>
      </c>
      <c r="Z137" s="404">
        <v>0</v>
      </c>
      <c r="AA137" s="400" t="s">
        <v>2005</v>
      </c>
      <c r="AB137" s="401" t="s">
        <v>1054</v>
      </c>
      <c r="AC137" s="402" t="s">
        <v>1054</v>
      </c>
      <c r="AD137" s="402" t="s">
        <v>1054</v>
      </c>
      <c r="AE137" s="403">
        <v>9999</v>
      </c>
      <c r="AF137" s="404">
        <v>0</v>
      </c>
      <c r="AG137" s="409"/>
      <c r="AH137" s="445">
        <f>IF(TYPE(VLOOKUP(H137,Centrum!$A$3:$E$130,5,0))&lt;4,VLOOKUP(H137,Centrum!$A$3:$E$130,5,0),0)</f>
        <v>0</v>
      </c>
      <c r="AI137" s="405" t="str">
        <f>IF(N($AH137)&gt;0,VLOOKUP($AH137,Body!$A$4:$F$259,5,0),"")</f>
        <v/>
      </c>
      <c r="AJ137" s="406" t="str">
        <f>IF(N($AH137)&gt;0,VLOOKUP($AH137,Body!$A$4:$F$259,6,0),"")</f>
        <v/>
      </c>
      <c r="AK137" s="405" t="str">
        <f>IF(N($AH137)&gt;0,VLOOKUP($AH137,Body!$A$4:$F$259,2,0),"")</f>
        <v/>
      </c>
      <c r="AL137" s="407" t="str">
        <f t="shared" si="48"/>
        <v/>
      </c>
      <c r="AM137" s="408">
        <f t="shared" si="49"/>
        <v>0</v>
      </c>
      <c r="AN137" s="334">
        <f>IF(OR(TYPE(I137)&gt;1,TYPE(MATCH(I137,I138:I$139,0))&gt;1),0,MATCH(I137,I138:I$139,0))+IF(OR(TYPE(I137)&gt;1,TYPE(MATCH(I137,O$11:O$139,0))&gt;1),0,MATCH(I137,O$11:O$139,0))+IF(OR(TYPE(I137)&gt;1,TYPE(MATCH(I137,U$11:U$139,0))&gt;1),0,MATCH(I137,U$11:U$139,0))+IF(OR(TYPE(I137)&gt;1,TYPE(MATCH(I137,AA$11:AA$139,0))&gt;1),0,MATCH(I137,AA$11:AA$139,0))</f>
        <v>0</v>
      </c>
      <c r="AO137" s="334">
        <f>IF(OR(TYPE(O137)&gt;1,TYPE(MATCH(O137,I$11:I$139,0))&gt;1),0,MATCH(O137,I$11:I$139,0))+IF(OR(TYPE(O137)&gt;1,TYPE(MATCH(O137,O138:O$139,0))&gt;1),0,MATCH(O137,O138:O$139,0))+IF(OR(TYPE(O137)&gt;1,TYPE(MATCH(O137,U$11:U$139,0))&gt;1),0,MATCH(O137,U$11:U$139,0))+IF(OR(TYPE(O137)&gt;1,TYPE(MATCH(O137,AA$11:AA$139,0))&gt;1),0,MATCH(O137,AA$11:AA$139,0))</f>
        <v>0</v>
      </c>
      <c r="AP137" s="334">
        <f>IF(OR(TYPE(U137)&gt;1,TYPE(MATCH(U137,I$11:I$139,0))&gt;1),0,MATCH(U137,I$11:I$139,0))+IF(OR(TYPE(U137)&gt;1,TYPE(MATCH(U137,O$11:O$139,0))&gt;1),0,MATCH(U137,O$11:O$139,0))+IF(OR(TYPE(U137)&gt;1,TYPE(MATCH(U137,U138:U$139,0))&gt;1),0,MATCH(U137,U138:U$139,0))+IF(OR(TYPE(U137)&gt;1,TYPE(MATCH(U137,AA$11:AA$139,0))&gt;1),0,MATCH(U137,AA$11:AA$139,0))</f>
        <v>0</v>
      </c>
      <c r="AQ137" s="334">
        <f>IF(OR(TYPE(AA137)&gt;1,TYPE(MATCH(AA137,I$11:I$139,0))&gt;1),0,MATCH(AA137,I$11:I$139,0))+IF(OR(TYPE(AA137)&gt;1,TYPE(MATCH(AA137,O$11:O$139,0))&gt;1),0,MATCH(AA137,O$11:O$139,0))+IF(OR(TYPE(AA137)&gt;1,TYPE(MATCH(AA137,U$11:U$139,0))&gt;1),0,MATCH(U137,U$11:U$139,0))+IF(OR(TYPE(AA137)&gt;1,TYPE(MATCH(AA137,AA138:AA$139,0))&gt;1),0,MATCH(AA137,AA138:AA$139,0))</f>
        <v>0</v>
      </c>
      <c r="AR137" s="334">
        <f t="shared" si="50"/>
        <v>0</v>
      </c>
      <c r="AT137" s="333">
        <f t="shared" si="51"/>
        <v>0</v>
      </c>
      <c r="AU137" s="333">
        <f>IF(AND(N(I137)&gt;0,TYPE(VLOOKUP(I137,Hraci!$A$5:$A$800,1,0))&gt;3),1,0) + IF(AND(N(O137)&gt;0,TYPE(VLOOKUP(O137,Hraci!$A$5:$A$800,1,0))&gt;3),1,0) + IF(AND(N(U137)&gt;0,TYPE(VLOOKUP(U137,Hraci!$A$5:$A$800,1,0))&gt;3),1,0)</f>
        <v>0</v>
      </c>
      <c r="BF137" s="334">
        <f t="shared" si="39"/>
        <v>127</v>
      </c>
    </row>
    <row r="138" spans="1:58" ht="15" thickBot="1" x14ac:dyDescent="0.35">
      <c r="A138" s="358">
        <f t="shared" si="40"/>
        <v>0</v>
      </c>
      <c r="B138" s="358">
        <f t="shared" si="41"/>
        <v>0</v>
      </c>
      <c r="C138" s="358">
        <f t="shared" si="42"/>
        <v>0</v>
      </c>
      <c r="D138" s="358">
        <f t="shared" si="43"/>
        <v>99999</v>
      </c>
      <c r="E138" s="358">
        <f t="shared" si="44"/>
        <v>9999</v>
      </c>
      <c r="F138" s="359" t="str">
        <f t="shared" ca="1" si="45"/>
        <v>90000000900000990000782320</v>
      </c>
      <c r="G138" s="398" t="b">
        <f t="shared" si="46"/>
        <v>1</v>
      </c>
      <c r="H138" s="399">
        <f t="shared" si="47"/>
        <v>128</v>
      </c>
      <c r="I138" s="400" t="s">
        <v>2005</v>
      </c>
      <c r="J138" s="401" t="s">
        <v>1054</v>
      </c>
      <c r="K138" s="402" t="s">
        <v>1054</v>
      </c>
      <c r="L138" s="402" t="s">
        <v>1054</v>
      </c>
      <c r="M138" s="403">
        <v>9999</v>
      </c>
      <c r="N138" s="404">
        <v>0</v>
      </c>
      <c r="O138" s="400" t="s">
        <v>2005</v>
      </c>
      <c r="P138" s="401" t="s">
        <v>1054</v>
      </c>
      <c r="Q138" s="402" t="s">
        <v>1054</v>
      </c>
      <c r="R138" s="402" t="s">
        <v>1054</v>
      </c>
      <c r="S138" s="403">
        <v>9999</v>
      </c>
      <c r="T138" s="404">
        <v>0</v>
      </c>
      <c r="U138" s="400" t="s">
        <v>2005</v>
      </c>
      <c r="V138" s="401" t="s">
        <v>1054</v>
      </c>
      <c r="W138" s="402" t="s">
        <v>1054</v>
      </c>
      <c r="X138" s="402" t="s">
        <v>1054</v>
      </c>
      <c r="Y138" s="403">
        <v>9999</v>
      </c>
      <c r="Z138" s="404">
        <v>0</v>
      </c>
      <c r="AA138" s="400" t="s">
        <v>2005</v>
      </c>
      <c r="AB138" s="401" t="s">
        <v>1054</v>
      </c>
      <c r="AC138" s="402" t="s">
        <v>1054</v>
      </c>
      <c r="AD138" s="402" t="s">
        <v>1054</v>
      </c>
      <c r="AE138" s="403">
        <v>9999</v>
      </c>
      <c r="AF138" s="404">
        <v>0</v>
      </c>
      <c r="AG138" s="410"/>
      <c r="AH138" s="445">
        <f>IF(TYPE(VLOOKUP(H138,Centrum!$A$3:$E$130,5,0))&lt;4,VLOOKUP(H138,Centrum!$A$3:$E$130,5,0),0)</f>
        <v>0</v>
      </c>
      <c r="AI138" s="405" t="str">
        <f>IF(N($AH138)&gt;0,VLOOKUP($AH138,Body!$A$4:$F$259,5,0),"")</f>
        <v/>
      </c>
      <c r="AJ138" s="406" t="str">
        <f>IF(N($AH138)&gt;0,VLOOKUP($AH138,Body!$A$4:$F$259,6,0),"")</f>
        <v/>
      </c>
      <c r="AK138" s="405" t="str">
        <f>IF(N($AH138)&gt;0,VLOOKUP($AH138,Body!$A$4:$F$259,2,0),"")</f>
        <v/>
      </c>
      <c r="AL138" s="407" t="str">
        <f t="shared" si="48"/>
        <v/>
      </c>
      <c r="AM138" s="408">
        <f t="shared" si="49"/>
        <v>0</v>
      </c>
      <c r="AN138" s="334">
        <f>IF(OR(TYPE(I138)&gt;1,TYPE(MATCH(I138,I139:I$139,0))&gt;1),0,MATCH(I138,I139:I$139,0))+IF(OR(TYPE(I138)&gt;1,TYPE(MATCH(I138,O$11:O$139,0))&gt;1),0,MATCH(I138,O$11:O$139,0))+IF(OR(TYPE(I138)&gt;1,TYPE(MATCH(I138,U$11:U$139,0))&gt;1),0,MATCH(I138,U$11:U$139,0))+IF(OR(TYPE(I138)&gt;1,TYPE(MATCH(I138,AA$11:AA$139,0))&gt;1),0,MATCH(I138,AA$11:AA$139,0))</f>
        <v>0</v>
      </c>
      <c r="AO138" s="334">
        <f>IF(OR(TYPE(O138)&gt;1,TYPE(MATCH(O138,I$11:I$139,0))&gt;1),0,MATCH(O138,I$11:I$139,0))+IF(OR(TYPE(O138)&gt;1,TYPE(MATCH(O138,O139:O$139,0))&gt;1),0,MATCH(O138,O139:O$139,0))+IF(OR(TYPE(O138)&gt;1,TYPE(MATCH(O138,U$11:U$139,0))&gt;1),0,MATCH(O138,U$11:U$139,0))+IF(OR(TYPE(O138)&gt;1,TYPE(MATCH(O138,AA$11:AA$139,0))&gt;1),0,MATCH(O138,AA$11:AA$139,0))</f>
        <v>0</v>
      </c>
      <c r="AP138" s="334">
        <f>IF(OR(TYPE(U138)&gt;1,TYPE(MATCH(U138,I$11:I$139,0))&gt;1),0,MATCH(U138,I$11:I$139,0))+IF(OR(TYPE(U138)&gt;1,TYPE(MATCH(U138,O$11:O$139,0))&gt;1),0,MATCH(U138,O$11:O$139,0))+IF(OR(TYPE(U138)&gt;1,TYPE(MATCH(U138,U139:U$139,0))&gt;1),0,MATCH(U138,U139:U$139,0))+IF(OR(TYPE(U138)&gt;1,TYPE(MATCH(U138,AA$11:AA$139,0))&gt;1),0,MATCH(U138,AA$11:AA$139,0))</f>
        <v>0</v>
      </c>
      <c r="AQ138" s="334">
        <f>IF(OR(TYPE(AA138)&gt;1,TYPE(MATCH(AA138,I$11:I$139,0))&gt;1),0,MATCH(AA138,I$11:I$139,0))+IF(OR(TYPE(AA138)&gt;1,TYPE(MATCH(AA138,O$11:O$139,0))&gt;1),0,MATCH(AA138,O$11:O$139,0))+IF(OR(TYPE(AA138)&gt;1,TYPE(MATCH(AA138,U$11:U$139,0))&gt;1),0,MATCH(U138,U$11:U$139,0))+IF(OR(TYPE(AA138)&gt;1,TYPE(MATCH(AA138,AA139:AA$139,0))&gt;1),0,MATCH(AA138,AA139:AA$139,0))</f>
        <v>0</v>
      </c>
      <c r="AR138" s="334">
        <f t="shared" si="50"/>
        <v>0</v>
      </c>
      <c r="AT138" s="333">
        <f t="shared" si="51"/>
        <v>0</v>
      </c>
      <c r="AU138" s="333">
        <f>IF(AND(N(I138)&gt;0,TYPE(VLOOKUP(I138,Hraci!$A$5:$A$800,1,0))&gt;3),1,0) + IF(AND(N(O138)&gt;0,TYPE(VLOOKUP(O138,Hraci!$A$5:$A$800,1,0))&gt;3),1,0) + IF(AND(N(U138)&gt;0,TYPE(VLOOKUP(U138,Hraci!$A$5:$A$800,1,0))&gt;3),1,0)</f>
        <v>0</v>
      </c>
      <c r="BF138" s="334">
        <f t="shared" si="39"/>
        <v>128</v>
      </c>
    </row>
    <row r="139" spans="1:58" ht="13.5" thickTop="1" x14ac:dyDescent="0.25"/>
  </sheetData>
  <sheetProtection algorithmName="SHA-512" hashValue="TgQWvXHo+zpFp3R0dUT8EjcfgT6uIgm2ACOgJbb3yuEvuhfVqWW5YOvYSR6RRwu0u0QzkujgYdRqDR+hB58v3w==" saltValue="bHuNKYFxcRzSy37lB5rQnA==" spinCount="100000" sheet="1" objects="1" scenarios="1"/>
  <sortState ref="A11:AU138">
    <sortCondition descending="1" ref="B11"/>
    <sortCondition descending="1" ref="C11"/>
    <sortCondition descending="1" ref="F11"/>
  </sortState>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65" t="s">
        <v>1210</v>
      </c>
      <c r="C2" s="466"/>
      <c r="D2" s="466"/>
      <c r="E2" s="467"/>
    </row>
    <row r="3" spans="1:5" x14ac:dyDescent="0.25">
      <c r="C3" s="134" t="s">
        <v>1211</v>
      </c>
    </row>
    <row r="5" spans="1:5" ht="15.75" x14ac:dyDescent="0.25">
      <c r="B5" s="468" t="s">
        <v>1212</v>
      </c>
    </row>
    <row r="6" spans="1:5" x14ac:dyDescent="0.25">
      <c r="C6" s="134" t="s">
        <v>1215</v>
      </c>
      <c r="E6" s="469"/>
    </row>
    <row r="7" spans="1:5" ht="15.75" x14ac:dyDescent="0.25">
      <c r="A7" s="134"/>
      <c r="C7" s="134" t="s">
        <v>1213</v>
      </c>
      <c r="E7" s="470"/>
    </row>
    <row r="8" spans="1:5" ht="15.75" x14ac:dyDescent="0.25">
      <c r="A8" s="134"/>
      <c r="C8" s="134" t="s">
        <v>1214</v>
      </c>
      <c r="E8" s="471"/>
    </row>
    <row r="9" spans="1:5" x14ac:dyDescent="0.25">
      <c r="C9" s="134" t="s">
        <v>1216</v>
      </c>
      <c r="E9" s="469"/>
    </row>
    <row r="10" spans="1:5" ht="15.75" x14ac:dyDescent="0.25">
      <c r="C10" s="134" t="s">
        <v>1228</v>
      </c>
      <c r="E10" s="472"/>
    </row>
    <row r="11" spans="1:5" x14ac:dyDescent="0.25">
      <c r="C11" s="134" t="s">
        <v>1218</v>
      </c>
      <c r="E11" s="469"/>
    </row>
    <row r="12" spans="1:5" x14ac:dyDescent="0.25">
      <c r="C12" s="134" t="s">
        <v>1217</v>
      </c>
      <c r="E12" s="469"/>
    </row>
    <row r="13" spans="1:5" x14ac:dyDescent="0.25">
      <c r="C13" s="134" t="s">
        <v>1219</v>
      </c>
      <c r="E13" s="469"/>
    </row>
    <row r="14" spans="1:5" x14ac:dyDescent="0.25">
      <c r="C14" s="134" t="s">
        <v>1220</v>
      </c>
      <c r="E14" s="469"/>
    </row>
    <row r="15" spans="1:5" x14ac:dyDescent="0.25">
      <c r="C15" s="134" t="s">
        <v>1221</v>
      </c>
      <c r="E15" s="469"/>
    </row>
    <row r="16" spans="1:5" x14ac:dyDescent="0.25">
      <c r="C16" s="134" t="s">
        <v>1222</v>
      </c>
      <c r="E16" s="469"/>
    </row>
    <row r="17" spans="3:5" x14ac:dyDescent="0.25">
      <c r="C17" s="134" t="s">
        <v>1223</v>
      </c>
      <c r="E17" s="469"/>
    </row>
    <row r="18" spans="3:5" x14ac:dyDescent="0.25">
      <c r="C18" s="134" t="s">
        <v>1224</v>
      </c>
      <c r="E18" s="469"/>
    </row>
    <row r="19" spans="3:5" x14ac:dyDescent="0.25">
      <c r="C19" s="134" t="s">
        <v>1225</v>
      </c>
      <c r="E19" s="469"/>
    </row>
    <row r="20" spans="3:5" x14ac:dyDescent="0.25">
      <c r="C20" s="134" t="s">
        <v>1283</v>
      </c>
      <c r="E20" s="469"/>
    </row>
    <row r="21" spans="3:5" x14ac:dyDescent="0.25">
      <c r="C21" s="134"/>
      <c r="E21" s="469"/>
    </row>
    <row r="22" spans="3:5" x14ac:dyDescent="0.25">
      <c r="C22" s="134" t="s">
        <v>1229</v>
      </c>
      <c r="E22" s="469"/>
    </row>
    <row r="23" spans="3:5" x14ac:dyDescent="0.25">
      <c r="C23" s="134"/>
      <c r="E23" s="469"/>
    </row>
    <row r="24" spans="3:5" x14ac:dyDescent="0.25">
      <c r="C24" s="134" t="s">
        <v>1230</v>
      </c>
      <c r="E24" s="469"/>
    </row>
    <row r="25" spans="3:5" x14ac:dyDescent="0.25">
      <c r="C25" s="134"/>
      <c r="E25" s="469"/>
    </row>
    <row r="26" spans="3:5" x14ac:dyDescent="0.25">
      <c r="C26" s="134" t="s">
        <v>1231</v>
      </c>
      <c r="E26" s="469"/>
    </row>
    <row r="27" spans="3:5" x14ac:dyDescent="0.25">
      <c r="C27" s="134"/>
      <c r="E27" s="469"/>
    </row>
    <row r="28" spans="3:5" x14ac:dyDescent="0.25">
      <c r="C28" s="134" t="s">
        <v>1227</v>
      </c>
      <c r="E28" s="469"/>
    </row>
    <row r="29" spans="3:5" x14ac:dyDescent="0.25">
      <c r="C29" s="134"/>
      <c r="E29" s="469"/>
    </row>
    <row r="30" spans="3:5" x14ac:dyDescent="0.25">
      <c r="C30" s="134" t="s">
        <v>1226</v>
      </c>
      <c r="E30" s="469"/>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pageSetUpPr fitToPage="1"/>
  </sheetPr>
  <dimension ref="A1:BQ132"/>
  <sheetViews>
    <sheetView workbookViewId="0">
      <pane xSplit="1" ySplit="2" topLeftCell="B35" activePane="bottomRight" state="frozen"/>
      <selection pane="topRight" activeCell="B1" sqref="B1"/>
      <selection pane="bottomLeft" activeCell="A3" sqref="A3"/>
      <selection pane="bottomRight" activeCell="B19" sqref="B19:B53"/>
    </sheetView>
  </sheetViews>
  <sheetFormatPr defaultRowHeight="12.75" x14ac:dyDescent="0.25"/>
  <cols>
    <col min="1" max="1" width="9" style="333" customWidth="1"/>
    <col min="2" max="2" width="47.7109375" style="334" customWidth="1"/>
    <col min="3" max="3" width="8.42578125" style="334" customWidth="1"/>
    <col min="4" max="4" width="2.85546875" style="334" customWidth="1"/>
    <col min="5" max="5" width="5.5703125" style="334" customWidth="1"/>
    <col min="6" max="7" width="6.42578125" style="334" customWidth="1"/>
    <col min="8" max="8" width="6.42578125" style="334" hidden="1" customWidth="1"/>
    <col min="9" max="9" width="5.5703125" style="334" hidden="1" customWidth="1"/>
    <col min="10" max="10" width="5.5703125" style="334" customWidth="1"/>
    <col min="11" max="11" width="2.140625" style="334" customWidth="1"/>
    <col min="12" max="17" width="5" style="334" customWidth="1"/>
    <col min="18" max="18" width="2.140625" style="334" customWidth="1"/>
    <col min="19" max="19" width="5.85546875" style="334" customWidth="1"/>
    <col min="20" max="21" width="5.5703125" style="334" customWidth="1"/>
    <col min="22" max="25" width="0" style="334" hidden="1" customWidth="1"/>
    <col min="26" max="27" width="1.7109375" style="334" customWidth="1"/>
    <col min="28" max="28" width="5.85546875" style="334" customWidth="1"/>
    <col min="29" max="30" width="5.5703125" style="334" customWidth="1"/>
    <col min="31" max="34" width="0" style="334" hidden="1" customWidth="1"/>
    <col min="35" max="36" width="1.7109375" style="334" customWidth="1"/>
    <col min="37" max="37" width="5.85546875" style="334" customWidth="1"/>
    <col min="38" max="39" width="5.5703125" style="334" customWidth="1"/>
    <col min="40" max="43" width="0" style="334" hidden="1" customWidth="1"/>
    <col min="44" max="45" width="1.7109375" style="334" customWidth="1"/>
    <col min="46" max="46" width="5.85546875" style="334" customWidth="1"/>
    <col min="47" max="48" width="5.5703125" style="334" customWidth="1"/>
    <col min="49" max="52" width="0" style="334" hidden="1" customWidth="1"/>
    <col min="53" max="54" width="1.7109375" style="334" customWidth="1"/>
    <col min="55" max="55" width="5.85546875" style="334" customWidth="1"/>
    <col min="56" max="57" width="5.5703125" style="334" customWidth="1"/>
    <col min="58" max="61" width="0" style="334" hidden="1" customWidth="1"/>
    <col min="62" max="63" width="1.7109375" style="334" customWidth="1"/>
    <col min="64" max="64" width="5.85546875" style="334" customWidth="1"/>
    <col min="65" max="66" width="5.5703125" style="334" customWidth="1"/>
    <col min="67" max="69" width="0" style="334" hidden="1" customWidth="1"/>
    <col min="70" max="70" width="4.7109375" style="334" customWidth="1"/>
    <col min="71" max="16384" width="9.140625" style="334"/>
  </cols>
  <sheetData>
    <row r="1" spans="1:69" ht="27" thickBot="1" x14ac:dyDescent="0.45">
      <c r="A1" s="456">
        <f>Start.listina!$Y$2</f>
        <v>4</v>
      </c>
      <c r="B1" s="459" t="s">
        <v>1107</v>
      </c>
      <c r="C1" s="458"/>
      <c r="E1" s="484" t="s">
        <v>864</v>
      </c>
      <c r="F1" s="484"/>
      <c r="G1" s="484"/>
      <c r="H1" s="484"/>
      <c r="I1" s="484"/>
      <c r="J1" s="462"/>
      <c r="L1" s="484" t="s">
        <v>1019</v>
      </c>
      <c r="M1" s="484"/>
      <c r="N1" s="484"/>
      <c r="O1" s="484"/>
      <c r="P1" s="484"/>
      <c r="S1" s="483" t="s">
        <v>861</v>
      </c>
      <c r="T1" s="483"/>
      <c r="U1" s="483"/>
      <c r="V1" s="483"/>
      <c r="W1" s="483"/>
      <c r="X1" s="483"/>
      <c r="Y1" s="418"/>
      <c r="Z1" s="333"/>
      <c r="AA1" s="333"/>
      <c r="AB1" s="483" t="s">
        <v>871</v>
      </c>
      <c r="AC1" s="483"/>
      <c r="AD1" s="483"/>
      <c r="AE1" s="483"/>
      <c r="AF1" s="483"/>
      <c r="AG1" s="483"/>
      <c r="AH1" s="418">
        <v>0</v>
      </c>
      <c r="AI1" s="333"/>
      <c r="AJ1" s="333"/>
      <c r="AK1" s="483" t="s">
        <v>882</v>
      </c>
      <c r="AL1" s="483"/>
      <c r="AM1" s="483"/>
      <c r="AN1" s="483"/>
      <c r="AO1" s="483"/>
      <c r="AP1" s="483"/>
      <c r="AQ1" s="418">
        <v>0</v>
      </c>
      <c r="AR1" s="333"/>
      <c r="AS1" s="333"/>
      <c r="AT1" s="483" t="s">
        <v>883</v>
      </c>
      <c r="AU1" s="483"/>
      <c r="AV1" s="483"/>
      <c r="AW1" s="483"/>
      <c r="AX1" s="483"/>
      <c r="AY1" s="483"/>
      <c r="AZ1" s="418">
        <v>0</v>
      </c>
      <c r="BA1" s="333"/>
      <c r="BB1" s="333"/>
      <c r="BC1" s="483" t="s">
        <v>884</v>
      </c>
      <c r="BD1" s="483"/>
      <c r="BE1" s="483"/>
      <c r="BF1" s="483"/>
      <c r="BG1" s="483"/>
      <c r="BH1" s="483"/>
      <c r="BI1" s="418">
        <v>0</v>
      </c>
      <c r="BJ1" s="333"/>
      <c r="BK1" s="333"/>
      <c r="BL1" s="483" t="s">
        <v>881</v>
      </c>
      <c r="BM1" s="483"/>
      <c r="BN1" s="483"/>
      <c r="BO1" s="483"/>
      <c r="BP1" s="483"/>
      <c r="BQ1" s="483"/>
    </row>
    <row r="2" spans="1:69" ht="42.6" customHeight="1" thickTop="1" thickBot="1" x14ac:dyDescent="0.3">
      <c r="A2" s="455" t="s">
        <v>1108</v>
      </c>
      <c r="B2" s="457" t="s">
        <v>1042</v>
      </c>
      <c r="C2" s="457" t="s">
        <v>1109</v>
      </c>
      <c r="E2" s="424" t="s">
        <v>860</v>
      </c>
      <c r="F2" s="425" t="s">
        <v>578</v>
      </c>
      <c r="G2" s="425" t="s">
        <v>650</v>
      </c>
      <c r="H2" s="425" t="s">
        <v>869</v>
      </c>
      <c r="I2" s="433" t="s">
        <v>867</v>
      </c>
      <c r="J2" s="434" t="s">
        <v>859</v>
      </c>
      <c r="L2" s="432" t="s">
        <v>981</v>
      </c>
      <c r="M2" s="433" t="s">
        <v>982</v>
      </c>
      <c r="N2" s="433" t="s">
        <v>983</v>
      </c>
      <c r="O2" s="433" t="s">
        <v>984</v>
      </c>
      <c r="P2" s="433" t="s">
        <v>985</v>
      </c>
      <c r="Q2" s="434" t="s">
        <v>986</v>
      </c>
      <c r="S2" s="435" t="s">
        <v>865</v>
      </c>
      <c r="T2" s="435" t="s">
        <v>866</v>
      </c>
      <c r="U2" s="436" t="s">
        <v>859</v>
      </c>
      <c r="V2" s="436" t="s">
        <v>867</v>
      </c>
      <c r="W2" s="436" t="s">
        <v>890</v>
      </c>
      <c r="X2" s="436" t="s">
        <v>873</v>
      </c>
      <c r="Y2" s="437" t="s">
        <v>1043</v>
      </c>
      <c r="AB2" s="435" t="s">
        <v>865</v>
      </c>
      <c r="AC2" s="435" t="s">
        <v>866</v>
      </c>
      <c r="AD2" s="436" t="s">
        <v>859</v>
      </c>
      <c r="AE2" s="436" t="s">
        <v>867</v>
      </c>
      <c r="AF2" s="436" t="s">
        <v>890</v>
      </c>
      <c r="AG2" s="436" t="s">
        <v>873</v>
      </c>
      <c r="AH2" s="438" t="s">
        <v>1043</v>
      </c>
      <c r="AK2" s="435" t="s">
        <v>865</v>
      </c>
      <c r="AL2" s="435" t="s">
        <v>866</v>
      </c>
      <c r="AM2" s="436" t="s">
        <v>859</v>
      </c>
      <c r="AN2" s="436" t="s">
        <v>867</v>
      </c>
      <c r="AO2" s="436" t="s">
        <v>890</v>
      </c>
      <c r="AP2" s="436" t="s">
        <v>873</v>
      </c>
      <c r="AQ2" s="438" t="s">
        <v>1043</v>
      </c>
      <c r="AT2" s="435" t="s">
        <v>865</v>
      </c>
      <c r="AU2" s="435" t="s">
        <v>866</v>
      </c>
      <c r="AV2" s="436" t="s">
        <v>859</v>
      </c>
      <c r="AW2" s="436" t="s">
        <v>867</v>
      </c>
      <c r="AX2" s="436" t="s">
        <v>890</v>
      </c>
      <c r="AY2" s="436" t="s">
        <v>873</v>
      </c>
      <c r="AZ2" s="438" t="s">
        <v>1043</v>
      </c>
      <c r="BC2" s="435" t="s">
        <v>865</v>
      </c>
      <c r="BD2" s="435" t="s">
        <v>866</v>
      </c>
      <c r="BE2" s="436" t="s">
        <v>859</v>
      </c>
      <c r="BF2" s="436" t="s">
        <v>867</v>
      </c>
      <c r="BG2" s="436" t="s">
        <v>890</v>
      </c>
      <c r="BH2" s="436" t="s">
        <v>873</v>
      </c>
      <c r="BI2" s="438" t="s">
        <v>1043</v>
      </c>
      <c r="BL2" s="435" t="s">
        <v>865</v>
      </c>
      <c r="BM2" s="435" t="s">
        <v>866</v>
      </c>
      <c r="BN2" s="436" t="s">
        <v>859</v>
      </c>
      <c r="BO2" s="436" t="s">
        <v>867</v>
      </c>
      <c r="BP2" s="436" t="s">
        <v>890</v>
      </c>
      <c r="BQ2" s="436" t="s">
        <v>873</v>
      </c>
    </row>
    <row r="3" spans="1:69" x14ac:dyDescent="0.25">
      <c r="A3" s="333">
        <f>Centrum!A3</f>
        <v>1</v>
      </c>
      <c r="B3" s="439" t="str">
        <f>IF(OR($A3="",TYPE(VLOOKUP($A3,Centrum!$D$3:$M$130,10,0))&gt;3),"",VLOOKUP(VLOOKUP(A3,Centrum!$D$3:$M$130,10,0),Centrum!$A$3:$CB$130,B$132,0))</f>
        <v>6 SK Sahara Vědomice - Demčíková Jiřina</v>
      </c>
      <c r="C3" s="333">
        <f>IF(OR($A3="",TYPE(VLOOKUP($A3,Centrum!$D$3:$M$130,10,0))&gt;3),"",VLOOKUP($A3,Centrum!$D$3:$M$130,10,0))</f>
        <v>6</v>
      </c>
      <c r="E3" s="333">
        <f ca="1">IF(OR($A3="",TYPE(VLOOKUP($A3,Centrum!$D$3:$M$130,10,0))&gt;3),"",VLOOKUP(VLOOKUP($A3,Centrum!$D$3:$M$130,10,0),Centrum!$A$3:$CB$130,E$132,0))</f>
        <v>4</v>
      </c>
      <c r="F3" s="333">
        <f ca="1">IF(OR($A3="",TYPE(VLOOKUP($A3,Centrum!$D$3:$M$130,10,0))&gt;3),"",VLOOKUP(VLOOKUP($A3,Centrum!$D$3:$M$130,10,0),Centrum!$A$3:$CB$130,F$132,0))</f>
        <v>10</v>
      </c>
      <c r="G3" s="333">
        <f ca="1">IF(OR($A3="",TYPE(VLOOKUP($A3,Centrum!$D$3:$M$130,10,0))&gt;3),"",VLOOKUP(VLOOKUP($A3,Centrum!$D$3:$M$130,10,0),Centrum!$A$3:$CB$130,G$132,0))</f>
        <v>40</v>
      </c>
      <c r="H3" s="333">
        <f ca="1">IF($A3="","",VLOOKUP(VLOOKUP($A3,Centrum!$D$3:$M$130,10,0),Centrum!$A$3:$CB$130,H$132,0))</f>
        <v>10</v>
      </c>
      <c r="I3" s="333">
        <f ca="1">IF($A3="","",VLOOKUP(VLOOKUP($A3,Centrum!$D$3:$M$130,10,0),Centrum!$A$3:$CB$130,I$132,0))</f>
        <v>0</v>
      </c>
      <c r="J3" s="333">
        <f ca="1">IF(OR($A3="",TYPE(VLOOKUP($A3,Centrum!$D$3:$M$130,10,0))&gt;3),"",VLOOKUP(VLOOKUP($A3,Centrum!$D$3:$M$130,10,0),Centrum!$A$3:$CB$130,J$132,0))</f>
        <v>37</v>
      </c>
      <c r="L3" s="333">
        <f ca="1">IF(OR($A3="",TYPE(VLOOKUP($A3,Centrum!$D$3:$M$130,10,0))&gt;3),"",VLOOKUP(VLOOKUP($A3,Centrum!$D$3:$M$130,10,0),Centrum!$A$3:$CB$130,L$132,0))</f>
        <v>31</v>
      </c>
      <c r="M3" s="333">
        <f ca="1">IF(OR($A3="",TYPE(VLOOKUP($A3,Centrum!$D$3:$M$130,10,0))&gt;3),"",VLOOKUP(VLOOKUP($A3,Centrum!$D$3:$M$130,10,0),Centrum!$A$3:$CB$130,M$132,0))</f>
        <v>50</v>
      </c>
      <c r="N3" s="333">
        <f ca="1">IF(OR($A3="",TYPE(VLOOKUP($A3,Centrum!$D$3:$M$130,10,0))&gt;3),"",VLOOKUP(VLOOKUP($A3,Centrum!$D$3:$M$130,10,0),Centrum!$A$3:$CB$130,N$132,0))</f>
        <v>45</v>
      </c>
      <c r="O3" s="333">
        <f ca="1">IF(OR($A3="",TYPE(VLOOKUP($A3,Centrum!$D$3:$M$130,10,0))&gt;3),"",VLOOKUP(VLOOKUP($A3,Centrum!$D$3:$M$130,10,0),Centrum!$A$3:$CB$130,O$132,0))</f>
        <v>12</v>
      </c>
      <c r="P3" s="333">
        <f ca="1">IF(OR($A3="",TYPE(VLOOKUP($A3,Centrum!$D$3:$M$130,10,0))&gt;3),"",VLOOKUP(VLOOKUP($A3,Centrum!$D$3:$M$130,10,0),Centrum!$A$3:$CB$130,P$132,0))</f>
        <v>0</v>
      </c>
      <c r="Q3" s="333">
        <f ca="1">IF(OR($A3="",TYPE(VLOOKUP($A3,Centrum!$D$3:$M$130,10,0))&gt;3),"",VLOOKUP(VLOOKUP($A3,Centrum!$D$3:$M$130,10,0),Centrum!$A$3:$CB$130,Q$132,0))</f>
        <v>0</v>
      </c>
      <c r="S3" s="333">
        <f ca="1">IF(OR($A3="",TYPE(VLOOKUP($A3,Centrum!$D$3:$M$130,10,0))&gt;3),"",VLOOKUP(VLOOKUP($A3,Centrum!$D$3:$M$130,10,0),Centrum!$A$3:$CB$130,S$132,0))</f>
        <v>31</v>
      </c>
      <c r="T3" s="333">
        <f ca="1">IF(OR($A3="",TYPE(VLOOKUP($A3,Centrum!$D$3:$M$130,10,0))&gt;3),"",VLOOKUP(VLOOKUP($A3,Centrum!$D$3:$M$130,10,0),Centrum!$A$3:$CB$130,T$132,0))</f>
        <v>1</v>
      </c>
      <c r="U3" s="333">
        <f ca="1">IF(OR($A3="",TYPE(VLOOKUP($A3,Centrum!$D$3:$M$130,10,0))&gt;3),"",VLOOKUP(VLOOKUP($A3,Centrum!$D$3:$M$130,10,0),Centrum!$A$3:$CB$130,U$132,0))</f>
        <v>10</v>
      </c>
      <c r="AB3" s="333">
        <f ca="1">IF(OR($A3="",TYPE(VLOOKUP($A3,Centrum!$D$3:$M$130,10,0))&gt;3),"",VLOOKUP(VLOOKUP($A3,Centrum!$D$3:$M$130,10,0),Centrum!$A$3:$CB$130,AB$132,0))</f>
        <v>50</v>
      </c>
      <c r="AC3" s="333">
        <f ca="1">IF(OR($A3="",TYPE(VLOOKUP($A3,Centrum!$D$3:$M$130,10,0))&gt;3),"",VLOOKUP(VLOOKUP($A3,Centrum!$D$3:$M$130,10,0),Centrum!$A$3:$CB$130,AC$132,0))</f>
        <v>1</v>
      </c>
      <c r="AD3" s="333">
        <f ca="1">IF(OR($A3="",TYPE(VLOOKUP($A3,Centrum!$D$3:$M$130,10,0))&gt;3),"",VLOOKUP(VLOOKUP($A3,Centrum!$D$3:$M$130,10,0),Centrum!$A$3:$CB$130,AD$132,0))</f>
        <v>9</v>
      </c>
      <c r="AK3" s="333">
        <f ca="1">IF(OR($A3="",TYPE(VLOOKUP($A3,Centrum!$D$3:$M$130,10,0))&gt;3),"",VLOOKUP(VLOOKUP($A3,Centrum!$D$3:$M$130,10,0),Centrum!$A$3:$CB$130,AK$132,0))</f>
        <v>45</v>
      </c>
      <c r="AL3" s="333">
        <f ca="1">IF(OR($A3="",TYPE(VLOOKUP($A3,Centrum!$D$3:$M$130,10,0))&gt;3),"",VLOOKUP(VLOOKUP($A3,Centrum!$D$3:$M$130,10,0),Centrum!$A$3:$CB$130,AL$132,0))</f>
        <v>1</v>
      </c>
      <c r="AM3" s="333">
        <f ca="1">IF(OR($A3="",TYPE(VLOOKUP($A3,Centrum!$D$3:$M$130,10,0))&gt;3),"",VLOOKUP(VLOOKUP($A3,Centrum!$D$3:$M$130,10,0),Centrum!$A$3:$CB$130,AM$132,0))</f>
        <v>10</v>
      </c>
      <c r="AT3" s="333">
        <f ca="1">IF(OR(OR($A3="",TYPE(VLOOKUP($A3,Centrum!$D$3:$M$130,10,0))&gt;3),$A$1&lt;4),"",VLOOKUP(VLOOKUP($A3,Centrum!$D$3:$M$130,10,0),Centrum!$A$3:$CB$130,AT$132,0))</f>
        <v>12</v>
      </c>
      <c r="AU3" s="333">
        <f ca="1">IF(OR(OR($A3="",TYPE(VLOOKUP($A3,Centrum!$D$3:$M$130,10,0))&gt;3),$A$1&lt;4),"",VLOOKUP(VLOOKUP($A3,Centrum!$D$3:$M$130,10,0),Centrum!$A$3:$CB$130,AU$132,0))</f>
        <v>1</v>
      </c>
      <c r="AV3" s="333">
        <f ca="1">IF(OR(OR($A3="",TYPE(VLOOKUP($A3,Centrum!$D$3:$M$130,10,0))&gt;3),$A$1&lt;4),"",VLOOKUP(VLOOKUP($A3,Centrum!$D$3:$M$130,10,0),Centrum!$A$3:$CB$130,AV$132,0))</f>
        <v>8</v>
      </c>
      <c r="BC3" s="333" t="str">
        <f>IF(OR(OR($A3="",TYPE(VLOOKUP($A3,Centrum!$D$3:$M$130,10,0))&gt;3),$A$1&lt;5),"",VLOOKUP(VLOOKUP($A3,Centrum!$D$3:$M$130,10,0),Centrum!$A$3:$CB$130,BC$132,0))</f>
        <v/>
      </c>
      <c r="BD3" s="333" t="str">
        <f>IF(OR(OR($A3="",TYPE(VLOOKUP($A3,Centrum!$D$3:$M$130,10,0))&gt;3),$A$1&lt;5),"",VLOOKUP(VLOOKUP($A3,Centrum!$D$3:$M$130,10,0),Centrum!$A$3:$CB$130,BD$132,0))</f>
        <v/>
      </c>
      <c r="BE3" s="333" t="str">
        <f>IF(OR(OR($A3="",TYPE(VLOOKUP($A3,Centrum!$D$3:$M$130,10,0))&gt;3),$A$1&lt;5),"",VLOOKUP(VLOOKUP($A3,Centrum!$D$3:$M$130,10,0),Centrum!$A$3:$CB$130,BE$132,0))</f>
        <v/>
      </c>
      <c r="BL3" s="333" t="str">
        <f>IF(OR(OR($A3="",TYPE(VLOOKUP($A3,Centrum!$D$3:$M$130,10,0))&gt;3),$A$1&lt;6),"",VLOOKUP(VLOOKUP($A3,Centrum!$D$3:$M$130,10,0),Centrum!$A$3:$CB$130,BL$132,0))</f>
        <v/>
      </c>
      <c r="BM3" s="333" t="str">
        <f>IF(OR(OR($A3="",TYPE(VLOOKUP($A3,Centrum!$D$3:$M$130,10,0))&gt;3),$A$1&lt;6),"",VLOOKUP(VLOOKUP($A3,Centrum!$D$3:$M$130,10,0),Centrum!$A$3:$CB$130,BM$132,0))</f>
        <v/>
      </c>
      <c r="BN3" s="333" t="str">
        <f>IF(OR(OR($A3="",TYPE(VLOOKUP($A3,Centrum!$D$3:$M$130,10,0))&gt;3),$A$1&lt;6),"",VLOOKUP(VLOOKUP($A3,Centrum!$D$3:$M$130,10,0),Centrum!$A$3:$CB$130,BN$132,0))</f>
        <v/>
      </c>
    </row>
    <row r="4" spans="1:69" x14ac:dyDescent="0.25">
      <c r="A4" s="333">
        <f>Centrum!A4</f>
        <v>2</v>
      </c>
      <c r="B4" s="439" t="str">
        <f>IF(OR($A4="",TYPE(VLOOKUP($A4,Centrum!$D$3:$M$130,10,0))&gt;3),"",VLOOKUP(VLOOKUP(A4,Centrum!$D$3:$M$130,10,0),Centrum!$A$3:$CB$130,B$132,0))</f>
        <v>2 PC Sokol Lipník - Fafek Petr</v>
      </c>
      <c r="C4" s="333">
        <f>IF(OR($A4="",TYPE(VLOOKUP($A4,Centrum!$D$3:$M$130,10,0))&gt;3),"",VLOOKUP($A4,Centrum!$D$3:$M$130,10,0))</f>
        <v>2</v>
      </c>
      <c r="E4" s="333">
        <f ca="1">IF(OR($A4="",TYPE(VLOOKUP($A4,Centrum!$D$3:$M$130,10,0))&gt;3),"",VLOOKUP(VLOOKUP($A4,Centrum!$D$3:$M$130,10,0),Centrum!$A$3:$CB$130,E$132,0))</f>
        <v>4</v>
      </c>
      <c r="F4" s="333">
        <f ca="1">IF(OR($A4="",TYPE(VLOOKUP($A4,Centrum!$D$3:$M$130,10,0))&gt;3),"",VLOOKUP(VLOOKUP($A4,Centrum!$D$3:$M$130,10,0),Centrum!$A$3:$CB$130,F$132,0))</f>
        <v>9</v>
      </c>
      <c r="G4" s="333">
        <f ca="1">IF(OR($A4="",TYPE(VLOOKUP($A4,Centrum!$D$3:$M$130,10,0))&gt;3),"",VLOOKUP(VLOOKUP($A4,Centrum!$D$3:$M$130,10,0),Centrum!$A$3:$CB$130,G$132,0))</f>
        <v>39</v>
      </c>
      <c r="H4" s="333">
        <f ca="1">IF($A4="","",VLOOKUP(VLOOKUP($A4,Centrum!$D$3:$M$130,10,0),Centrum!$A$3:$CB$130,H$132,0))</f>
        <v>9</v>
      </c>
      <c r="I4" s="333">
        <f ca="1">IF($A4="","",VLOOKUP(VLOOKUP($A4,Centrum!$D$3:$M$130,10,0),Centrum!$A$3:$CB$130,I$132,0))</f>
        <v>0</v>
      </c>
      <c r="J4" s="333">
        <f ca="1">IF(OR($A4="",TYPE(VLOOKUP($A4,Centrum!$D$3:$M$130,10,0))&gt;3),"",VLOOKUP(VLOOKUP($A4,Centrum!$D$3:$M$130,10,0),Centrum!$A$3:$CB$130,J$132,0))</f>
        <v>39</v>
      </c>
      <c r="L4" s="333">
        <f ca="1">IF(OR($A4="",TYPE(VLOOKUP($A4,Centrum!$D$3:$M$130,10,0))&gt;3),"",VLOOKUP(VLOOKUP($A4,Centrum!$D$3:$M$130,10,0),Centrum!$A$3:$CB$130,L$132,0))</f>
        <v>27</v>
      </c>
      <c r="M4" s="333">
        <f ca="1">IF(OR($A4="",TYPE(VLOOKUP($A4,Centrum!$D$3:$M$130,10,0))&gt;3),"",VLOOKUP(VLOOKUP($A4,Centrum!$D$3:$M$130,10,0),Centrum!$A$3:$CB$130,M$132,0))</f>
        <v>23</v>
      </c>
      <c r="N4" s="333">
        <f ca="1">IF(OR($A4="",TYPE(VLOOKUP($A4,Centrum!$D$3:$M$130,10,0))&gt;3),"",VLOOKUP(VLOOKUP($A4,Centrum!$D$3:$M$130,10,0),Centrum!$A$3:$CB$130,N$132,0))</f>
        <v>9</v>
      </c>
      <c r="O4" s="333">
        <f ca="1">IF(OR($A4="",TYPE(VLOOKUP($A4,Centrum!$D$3:$M$130,10,0))&gt;3),"",VLOOKUP(VLOOKUP($A4,Centrum!$D$3:$M$130,10,0),Centrum!$A$3:$CB$130,O$132,0))</f>
        <v>19</v>
      </c>
      <c r="P4" s="333">
        <f ca="1">IF(OR($A4="",TYPE(VLOOKUP($A4,Centrum!$D$3:$M$130,10,0))&gt;3),"",VLOOKUP(VLOOKUP($A4,Centrum!$D$3:$M$130,10,0),Centrum!$A$3:$CB$130,P$132,0))</f>
        <v>0</v>
      </c>
      <c r="Q4" s="333">
        <f ca="1">IF(OR($A4="",TYPE(VLOOKUP($A4,Centrum!$D$3:$M$130,10,0))&gt;3),"",VLOOKUP(VLOOKUP($A4,Centrum!$D$3:$M$130,10,0),Centrum!$A$3:$CB$130,Q$132,0))</f>
        <v>0</v>
      </c>
      <c r="S4" s="333">
        <f ca="1">IF(OR($A4="",TYPE(VLOOKUP($A4,Centrum!$D$3:$M$130,10,0))&gt;3),"",VLOOKUP(VLOOKUP($A4,Centrum!$D$3:$M$130,10,0),Centrum!$A$3:$CB$130,S$132,0))</f>
        <v>27</v>
      </c>
      <c r="T4" s="333">
        <f ca="1">IF(OR($A4="",TYPE(VLOOKUP($A4,Centrum!$D$3:$M$130,10,0))&gt;3),"",VLOOKUP(VLOOKUP($A4,Centrum!$D$3:$M$130,10,0),Centrum!$A$3:$CB$130,T$132,0))</f>
        <v>1</v>
      </c>
      <c r="U4" s="333">
        <f ca="1">IF(OR($A4="",TYPE(VLOOKUP($A4,Centrum!$D$3:$M$130,10,0))&gt;3),"",VLOOKUP(VLOOKUP($A4,Centrum!$D$3:$M$130,10,0),Centrum!$A$3:$CB$130,U$132,0))</f>
        <v>8</v>
      </c>
      <c r="AB4" s="333">
        <f ca="1">IF(OR($A4="",TYPE(VLOOKUP($A4,Centrum!$D$3:$M$130,10,0))&gt;3),"",VLOOKUP(VLOOKUP($A4,Centrum!$D$3:$M$130,10,0),Centrum!$A$3:$CB$130,AB$132,0))</f>
        <v>23</v>
      </c>
      <c r="AC4" s="333">
        <f ca="1">IF(OR($A4="",TYPE(VLOOKUP($A4,Centrum!$D$3:$M$130,10,0))&gt;3),"",VLOOKUP(VLOOKUP($A4,Centrum!$D$3:$M$130,10,0),Centrum!$A$3:$CB$130,AC$132,0))</f>
        <v>1</v>
      </c>
      <c r="AD4" s="333">
        <f ca="1">IF(OR($A4="",TYPE(VLOOKUP($A4,Centrum!$D$3:$M$130,10,0))&gt;3),"",VLOOKUP(VLOOKUP($A4,Centrum!$D$3:$M$130,10,0),Centrum!$A$3:$CB$130,AD$132,0))</f>
        <v>9</v>
      </c>
      <c r="AK4" s="333">
        <f ca="1">IF(OR($A4="",TYPE(VLOOKUP($A4,Centrum!$D$3:$M$130,10,0))&gt;3),"",VLOOKUP(VLOOKUP($A4,Centrum!$D$3:$M$130,10,0),Centrum!$A$3:$CB$130,AK$132,0))</f>
        <v>9</v>
      </c>
      <c r="AL4" s="333">
        <f ca="1">IF(OR($A4="",TYPE(VLOOKUP($A4,Centrum!$D$3:$M$130,10,0))&gt;3),"",VLOOKUP(VLOOKUP($A4,Centrum!$D$3:$M$130,10,0),Centrum!$A$3:$CB$130,AL$132,0))</f>
        <v>1</v>
      </c>
      <c r="AM4" s="333">
        <f ca="1">IF(OR($A4="",TYPE(VLOOKUP($A4,Centrum!$D$3:$M$130,10,0))&gt;3),"",VLOOKUP(VLOOKUP($A4,Centrum!$D$3:$M$130,10,0),Centrum!$A$3:$CB$130,AM$132,0))</f>
        <v>12</v>
      </c>
      <c r="AT4" s="333">
        <f ca="1">IF(OR(OR($A4="",TYPE(VLOOKUP($A4,Centrum!$D$3:$M$130,10,0))&gt;3),$A$1&lt;4),"",VLOOKUP(VLOOKUP($A4,Centrum!$D$3:$M$130,10,0),Centrum!$A$3:$CB$130,AT$132,0))</f>
        <v>19</v>
      </c>
      <c r="AU4" s="333">
        <f ca="1">IF(OR(OR($A4="",TYPE(VLOOKUP($A4,Centrum!$D$3:$M$130,10,0))&gt;3),$A$1&lt;4),"",VLOOKUP(VLOOKUP($A4,Centrum!$D$3:$M$130,10,0),Centrum!$A$3:$CB$130,AU$132,0))</f>
        <v>1</v>
      </c>
      <c r="AV4" s="333">
        <f ca="1">IF(OR(OR($A4="",TYPE(VLOOKUP($A4,Centrum!$D$3:$M$130,10,0))&gt;3),$A$1&lt;4),"",VLOOKUP(VLOOKUP($A4,Centrum!$D$3:$M$130,10,0),Centrum!$A$3:$CB$130,AV$132,0))</f>
        <v>10</v>
      </c>
      <c r="BC4" s="333" t="str">
        <f>IF(OR(OR($A4="",TYPE(VLOOKUP($A4,Centrum!$D$3:$M$130,10,0))&gt;3),$A$1&lt;5),"",VLOOKUP(VLOOKUP($A4,Centrum!$D$3:$M$130,10,0),Centrum!$A$3:$CB$130,BC$132,0))</f>
        <v/>
      </c>
      <c r="BD4" s="333" t="str">
        <f>IF(OR(OR($A4="",TYPE(VLOOKUP($A4,Centrum!$D$3:$M$130,10,0))&gt;3),$A$1&lt;5),"",VLOOKUP(VLOOKUP($A4,Centrum!$D$3:$M$130,10,0),Centrum!$A$3:$CB$130,BD$132,0))</f>
        <v/>
      </c>
      <c r="BE4" s="333" t="str">
        <f>IF(OR(OR($A4="",TYPE(VLOOKUP($A4,Centrum!$D$3:$M$130,10,0))&gt;3),$A$1&lt;5),"",VLOOKUP(VLOOKUP($A4,Centrum!$D$3:$M$130,10,0),Centrum!$A$3:$CB$130,BE$132,0))</f>
        <v/>
      </c>
      <c r="BL4" s="333" t="str">
        <f>IF(OR(OR($A4="",TYPE(VLOOKUP($A4,Centrum!$D$3:$M$130,10,0))&gt;3),$A$1&lt;6),"",VLOOKUP(VLOOKUP($A4,Centrum!$D$3:$M$130,10,0),Centrum!$A$3:$CB$130,BL$132,0))</f>
        <v/>
      </c>
      <c r="BM4" s="333" t="str">
        <f>IF(OR(OR($A4="",TYPE(VLOOKUP($A4,Centrum!$D$3:$M$130,10,0))&gt;3),$A$1&lt;6),"",VLOOKUP(VLOOKUP($A4,Centrum!$D$3:$M$130,10,0),Centrum!$A$3:$CB$130,BM$132,0))</f>
        <v/>
      </c>
      <c r="BN4" s="333" t="str">
        <f>IF(OR(OR($A4="",TYPE(VLOOKUP($A4,Centrum!$D$3:$M$130,10,0))&gt;3),$A$1&lt;6),"",VLOOKUP(VLOOKUP($A4,Centrum!$D$3:$M$130,10,0),Centrum!$A$3:$CB$130,BN$132,0))</f>
        <v/>
      </c>
    </row>
    <row r="5" spans="1:69" x14ac:dyDescent="0.25">
      <c r="A5" s="333">
        <f>Centrum!A5</f>
        <v>3</v>
      </c>
      <c r="B5" s="439" t="str">
        <f>IF(OR($A5="",TYPE(VLOOKUP($A5,Centrum!$D$3:$M$130,10,0))&gt;3),"",VLOOKUP(VLOOKUP(A5,Centrum!$D$3:$M$130,10,0),Centrum!$A$3:$CB$130,B$132,0))</f>
        <v>11 PC Sokol Lipník - Froňková Blanka</v>
      </c>
      <c r="C5" s="333">
        <f>IF(OR($A5="",TYPE(VLOOKUP($A5,Centrum!$D$3:$M$130,10,0))&gt;3),"",VLOOKUP($A5,Centrum!$D$3:$M$130,10,0))</f>
        <v>11</v>
      </c>
      <c r="E5" s="333">
        <f ca="1">IF(OR($A5="",TYPE(VLOOKUP($A5,Centrum!$D$3:$M$130,10,0))&gt;3),"",VLOOKUP(VLOOKUP($A5,Centrum!$D$3:$M$130,10,0),Centrum!$A$3:$CB$130,E$132,0))</f>
        <v>4</v>
      </c>
      <c r="F5" s="333">
        <f ca="1">IF(OR($A5="",TYPE(VLOOKUP($A5,Centrum!$D$3:$M$130,10,0))&gt;3),"",VLOOKUP(VLOOKUP($A5,Centrum!$D$3:$M$130,10,0),Centrum!$A$3:$CB$130,F$132,0))</f>
        <v>9</v>
      </c>
      <c r="G5" s="333">
        <f ca="1">IF(OR($A5="",TYPE(VLOOKUP($A5,Centrum!$D$3:$M$130,10,0))&gt;3),"",VLOOKUP(VLOOKUP($A5,Centrum!$D$3:$M$130,10,0),Centrum!$A$3:$CB$130,G$132,0))</f>
        <v>36</v>
      </c>
      <c r="H5" s="333">
        <f ca="1">IF($A5="","",VLOOKUP(VLOOKUP($A5,Centrum!$D$3:$M$130,10,0),Centrum!$A$3:$CB$130,H$132,0))</f>
        <v>9</v>
      </c>
      <c r="I5" s="333">
        <f ca="1">IF($A5="","",VLOOKUP(VLOOKUP($A5,Centrum!$D$3:$M$130,10,0),Centrum!$A$3:$CB$130,I$132,0))</f>
        <v>0</v>
      </c>
      <c r="J5" s="333">
        <f ca="1">IF(OR($A5="",TYPE(VLOOKUP($A5,Centrum!$D$3:$M$130,10,0))&gt;3),"",VLOOKUP(VLOOKUP($A5,Centrum!$D$3:$M$130,10,0),Centrum!$A$3:$CB$130,J$132,0))</f>
        <v>29</v>
      </c>
      <c r="L5" s="333">
        <f ca="1">IF(OR($A5="",TYPE(VLOOKUP($A5,Centrum!$D$3:$M$130,10,0))&gt;3),"",VLOOKUP(VLOOKUP($A5,Centrum!$D$3:$M$130,10,0),Centrum!$A$3:$CB$130,L$132,0))</f>
        <v>36</v>
      </c>
      <c r="M5" s="333">
        <f ca="1">IF(OR($A5="",TYPE(VLOOKUP($A5,Centrum!$D$3:$M$130,10,0))&gt;3),"",VLOOKUP(VLOOKUP($A5,Centrum!$D$3:$M$130,10,0),Centrum!$A$3:$CB$130,M$132,0))</f>
        <v>7</v>
      </c>
      <c r="N5" s="333">
        <f ca="1">IF(OR($A5="",TYPE(VLOOKUP($A5,Centrum!$D$3:$M$130,10,0))&gt;3),"",VLOOKUP(VLOOKUP($A5,Centrum!$D$3:$M$130,10,0),Centrum!$A$3:$CB$130,N$132,0))</f>
        <v>22</v>
      </c>
      <c r="O5" s="333">
        <f ca="1">IF(OR($A5="",TYPE(VLOOKUP($A5,Centrum!$D$3:$M$130,10,0))&gt;3),"",VLOOKUP(VLOOKUP($A5,Centrum!$D$3:$M$130,10,0),Centrum!$A$3:$CB$130,O$132,0))</f>
        <v>43</v>
      </c>
      <c r="P5" s="333">
        <f ca="1">IF(OR($A5="",TYPE(VLOOKUP($A5,Centrum!$D$3:$M$130,10,0))&gt;3),"",VLOOKUP(VLOOKUP($A5,Centrum!$D$3:$M$130,10,0),Centrum!$A$3:$CB$130,P$132,0))</f>
        <v>0</v>
      </c>
      <c r="Q5" s="333">
        <f ca="1">IF(OR($A5="",TYPE(VLOOKUP($A5,Centrum!$D$3:$M$130,10,0))&gt;3),"",VLOOKUP(VLOOKUP($A5,Centrum!$D$3:$M$130,10,0),Centrum!$A$3:$CB$130,Q$132,0))</f>
        <v>0</v>
      </c>
      <c r="S5" s="333">
        <f ca="1">IF(OR($A5="",TYPE(VLOOKUP($A5,Centrum!$D$3:$M$130,10,0))&gt;3),"",VLOOKUP(VLOOKUP($A5,Centrum!$D$3:$M$130,10,0),Centrum!$A$3:$CB$130,S$132,0))</f>
        <v>36</v>
      </c>
      <c r="T5" s="333">
        <f ca="1">IF(OR($A5="",TYPE(VLOOKUP($A5,Centrum!$D$3:$M$130,10,0))&gt;3),"",VLOOKUP(VLOOKUP($A5,Centrum!$D$3:$M$130,10,0),Centrum!$A$3:$CB$130,T$132,0))</f>
        <v>1</v>
      </c>
      <c r="U5" s="333">
        <f ca="1">IF(OR($A5="",TYPE(VLOOKUP($A5,Centrum!$D$3:$M$130,10,0))&gt;3),"",VLOOKUP(VLOOKUP($A5,Centrum!$D$3:$M$130,10,0),Centrum!$A$3:$CB$130,U$132,0))</f>
        <v>6</v>
      </c>
      <c r="AB5" s="333">
        <f ca="1">IF(OR($A5="",TYPE(VLOOKUP($A5,Centrum!$D$3:$M$130,10,0))&gt;3),"",VLOOKUP(VLOOKUP($A5,Centrum!$D$3:$M$130,10,0),Centrum!$A$3:$CB$130,AB$132,0))</f>
        <v>7</v>
      </c>
      <c r="AC5" s="333">
        <f ca="1">IF(OR($A5="",TYPE(VLOOKUP($A5,Centrum!$D$3:$M$130,10,0))&gt;3),"",VLOOKUP(VLOOKUP($A5,Centrum!$D$3:$M$130,10,0),Centrum!$A$3:$CB$130,AC$132,0))</f>
        <v>1</v>
      </c>
      <c r="AD5" s="333">
        <f ca="1">IF(OR($A5="",TYPE(VLOOKUP($A5,Centrum!$D$3:$M$130,10,0))&gt;3),"",VLOOKUP(VLOOKUP($A5,Centrum!$D$3:$M$130,10,0),Centrum!$A$3:$CB$130,AD$132,0))</f>
        <v>9</v>
      </c>
      <c r="AK5" s="333">
        <f ca="1">IF(OR($A5="",TYPE(VLOOKUP($A5,Centrum!$D$3:$M$130,10,0))&gt;3),"",VLOOKUP(VLOOKUP($A5,Centrum!$D$3:$M$130,10,0),Centrum!$A$3:$CB$130,AK$132,0))</f>
        <v>22</v>
      </c>
      <c r="AL5" s="333">
        <f ca="1">IF(OR($A5="",TYPE(VLOOKUP($A5,Centrum!$D$3:$M$130,10,0))&gt;3),"",VLOOKUP(VLOOKUP($A5,Centrum!$D$3:$M$130,10,0),Centrum!$A$3:$CB$130,AL$132,0))</f>
        <v>1</v>
      </c>
      <c r="AM5" s="333">
        <f ca="1">IF(OR($A5="",TYPE(VLOOKUP($A5,Centrum!$D$3:$M$130,10,0))&gt;3),"",VLOOKUP(VLOOKUP($A5,Centrum!$D$3:$M$130,10,0),Centrum!$A$3:$CB$130,AM$132,0))</f>
        <v>9</v>
      </c>
      <c r="AT5" s="333">
        <f ca="1">IF(OR(OR($A5="",TYPE(VLOOKUP($A5,Centrum!$D$3:$M$130,10,0))&gt;3),$A$1&lt;4),"",VLOOKUP(VLOOKUP($A5,Centrum!$D$3:$M$130,10,0),Centrum!$A$3:$CB$130,AT$132,0))</f>
        <v>43</v>
      </c>
      <c r="AU5" s="333">
        <f ca="1">IF(OR(OR($A5="",TYPE(VLOOKUP($A5,Centrum!$D$3:$M$130,10,0))&gt;3),$A$1&lt;4),"",VLOOKUP(VLOOKUP($A5,Centrum!$D$3:$M$130,10,0),Centrum!$A$3:$CB$130,AU$132,0))</f>
        <v>1</v>
      </c>
      <c r="AV5" s="333">
        <f ca="1">IF(OR(OR($A5="",TYPE(VLOOKUP($A5,Centrum!$D$3:$M$130,10,0))&gt;3),$A$1&lt;4),"",VLOOKUP(VLOOKUP($A5,Centrum!$D$3:$M$130,10,0),Centrum!$A$3:$CB$130,AV$132,0))</f>
        <v>5</v>
      </c>
      <c r="BC5" s="333" t="str">
        <f>IF(OR(OR($A5="",TYPE(VLOOKUP($A5,Centrum!$D$3:$M$130,10,0))&gt;3),$A$1&lt;5),"",VLOOKUP(VLOOKUP($A5,Centrum!$D$3:$M$130,10,0),Centrum!$A$3:$CB$130,BC$132,0))</f>
        <v/>
      </c>
      <c r="BD5" s="333" t="str">
        <f>IF(OR(OR($A5="",TYPE(VLOOKUP($A5,Centrum!$D$3:$M$130,10,0))&gt;3),$A$1&lt;5),"",VLOOKUP(VLOOKUP($A5,Centrum!$D$3:$M$130,10,0),Centrum!$A$3:$CB$130,BD$132,0))</f>
        <v/>
      </c>
      <c r="BE5" s="333" t="str">
        <f>IF(OR(OR($A5="",TYPE(VLOOKUP($A5,Centrum!$D$3:$M$130,10,0))&gt;3),$A$1&lt;5),"",VLOOKUP(VLOOKUP($A5,Centrum!$D$3:$M$130,10,0),Centrum!$A$3:$CB$130,BE$132,0))</f>
        <v/>
      </c>
      <c r="BL5" s="333" t="str">
        <f>IF(OR(OR($A5="",TYPE(VLOOKUP($A5,Centrum!$D$3:$M$130,10,0))&gt;3),$A$1&lt;6),"",VLOOKUP(VLOOKUP($A5,Centrum!$D$3:$M$130,10,0),Centrum!$A$3:$CB$130,BL$132,0))</f>
        <v/>
      </c>
      <c r="BM5" s="333" t="str">
        <f>IF(OR(OR($A5="",TYPE(VLOOKUP($A5,Centrum!$D$3:$M$130,10,0))&gt;3),$A$1&lt;6),"",VLOOKUP(VLOOKUP($A5,Centrum!$D$3:$M$130,10,0),Centrum!$A$3:$CB$130,BM$132,0))</f>
        <v/>
      </c>
      <c r="BN5" s="333" t="str">
        <f>IF(OR(OR($A5="",TYPE(VLOOKUP($A5,Centrum!$D$3:$M$130,10,0))&gt;3),$A$1&lt;6),"",VLOOKUP(VLOOKUP($A5,Centrum!$D$3:$M$130,10,0),Centrum!$A$3:$CB$130,BN$132,0))</f>
        <v/>
      </c>
    </row>
    <row r="6" spans="1:69" x14ac:dyDescent="0.25">
      <c r="A6" s="333">
        <f>Centrum!A6</f>
        <v>4</v>
      </c>
      <c r="B6" s="439" t="str">
        <f>IF(OR($A6="",TYPE(VLOOKUP($A6,Centrum!$D$3:$M$130,10,0))&gt;3),"",VLOOKUP(VLOOKUP(A6,Centrum!$D$3:$M$130,10,0),Centrum!$A$3:$CB$130,B$132,0))</f>
        <v>19 Petank Club Praha - Vorel Jan</v>
      </c>
      <c r="C6" s="333">
        <f>IF(OR($A6="",TYPE(VLOOKUP($A6,Centrum!$D$3:$M$130,10,0))&gt;3),"",VLOOKUP($A6,Centrum!$D$3:$M$130,10,0))</f>
        <v>19</v>
      </c>
      <c r="E6" s="333">
        <f ca="1">IF(OR($A6="",TYPE(VLOOKUP($A6,Centrum!$D$3:$M$130,10,0))&gt;3),"",VLOOKUP(VLOOKUP($A6,Centrum!$D$3:$M$130,10,0),Centrum!$A$3:$CB$130,E$132,0))</f>
        <v>3</v>
      </c>
      <c r="F6" s="333">
        <f ca="1">IF(OR($A6="",TYPE(VLOOKUP($A6,Centrum!$D$3:$M$130,10,0))&gt;3),"",VLOOKUP(VLOOKUP($A6,Centrum!$D$3:$M$130,10,0),Centrum!$A$3:$CB$130,F$132,0))</f>
        <v>12</v>
      </c>
      <c r="G6" s="333">
        <f ca="1">IF(OR($A6="",TYPE(VLOOKUP($A6,Centrum!$D$3:$M$130,10,0))&gt;3),"",VLOOKUP(VLOOKUP($A6,Centrum!$D$3:$M$130,10,0),Centrum!$A$3:$CB$130,G$132,0))</f>
        <v>32</v>
      </c>
      <c r="H6" s="333">
        <f ca="1">IF($A6="","",VLOOKUP(VLOOKUP($A6,Centrum!$D$3:$M$130,10,0),Centrum!$A$3:$CB$130,H$132,0))</f>
        <v>8</v>
      </c>
      <c r="I6" s="333">
        <f ca="1">IF($A6="","",VLOOKUP(VLOOKUP($A6,Centrum!$D$3:$M$130,10,0),Centrum!$A$3:$CB$130,I$132,0))</f>
        <v>0</v>
      </c>
      <c r="J6" s="333">
        <f ca="1">IF(OR($A6="",TYPE(VLOOKUP($A6,Centrum!$D$3:$M$130,10,0))&gt;3),"",VLOOKUP(VLOOKUP($A6,Centrum!$D$3:$M$130,10,0),Centrum!$A$3:$CB$130,J$132,0))</f>
        <v>0</v>
      </c>
      <c r="L6" s="333">
        <f ca="1">IF(OR($A6="",TYPE(VLOOKUP($A6,Centrum!$D$3:$M$130,10,0))&gt;3),"",VLOOKUP(VLOOKUP($A6,Centrum!$D$3:$M$130,10,0),Centrum!$A$3:$CB$130,L$132,0))</f>
        <v>44</v>
      </c>
      <c r="M6" s="333">
        <f ca="1">IF(OR($A6="",TYPE(VLOOKUP($A6,Centrum!$D$3:$M$130,10,0))&gt;3),"",VLOOKUP(VLOOKUP($A6,Centrum!$D$3:$M$130,10,0),Centrum!$A$3:$CB$130,M$132,0))</f>
        <v>21</v>
      </c>
      <c r="N6" s="333">
        <f ca="1">IF(OR($A6="",TYPE(VLOOKUP($A6,Centrum!$D$3:$M$130,10,0))&gt;3),"",VLOOKUP(VLOOKUP($A6,Centrum!$D$3:$M$130,10,0),Centrum!$A$3:$CB$130,N$132,0))</f>
        <v>16</v>
      </c>
      <c r="O6" s="333">
        <f ca="1">IF(OR($A6="",TYPE(VLOOKUP($A6,Centrum!$D$3:$M$130,10,0))&gt;3),"",VLOOKUP(VLOOKUP($A6,Centrum!$D$3:$M$130,10,0),Centrum!$A$3:$CB$130,O$132,0))</f>
        <v>2</v>
      </c>
      <c r="P6" s="333">
        <f ca="1">IF(OR($A6="",TYPE(VLOOKUP($A6,Centrum!$D$3:$M$130,10,0))&gt;3),"",VLOOKUP(VLOOKUP($A6,Centrum!$D$3:$M$130,10,0),Centrum!$A$3:$CB$130,P$132,0))</f>
        <v>0</v>
      </c>
      <c r="Q6" s="333">
        <f ca="1">IF(OR($A6="",TYPE(VLOOKUP($A6,Centrum!$D$3:$M$130,10,0))&gt;3),"",VLOOKUP(VLOOKUP($A6,Centrum!$D$3:$M$130,10,0),Centrum!$A$3:$CB$130,Q$132,0))</f>
        <v>0</v>
      </c>
      <c r="S6" s="333">
        <f ca="1">IF(OR($A6="",TYPE(VLOOKUP($A6,Centrum!$D$3:$M$130,10,0))&gt;3),"",VLOOKUP(VLOOKUP($A6,Centrum!$D$3:$M$130,10,0),Centrum!$A$3:$CB$130,S$132,0))</f>
        <v>44</v>
      </c>
      <c r="T6" s="333">
        <f ca="1">IF(OR($A6="",TYPE(VLOOKUP($A6,Centrum!$D$3:$M$130,10,0))&gt;3),"",VLOOKUP(VLOOKUP($A6,Centrum!$D$3:$M$130,10,0),Centrum!$A$3:$CB$130,T$132,0))</f>
        <v>1</v>
      </c>
      <c r="U6" s="333">
        <f ca="1">IF(OR($A6="",TYPE(VLOOKUP($A6,Centrum!$D$3:$M$130,10,0))&gt;3),"",VLOOKUP(VLOOKUP($A6,Centrum!$D$3:$M$130,10,0),Centrum!$A$3:$CB$130,U$132,0))</f>
        <v>1</v>
      </c>
      <c r="AB6" s="333">
        <f ca="1">IF(OR($A6="",TYPE(VLOOKUP($A6,Centrum!$D$3:$M$130,10,0))&gt;3),"",VLOOKUP(VLOOKUP($A6,Centrum!$D$3:$M$130,10,0),Centrum!$A$3:$CB$130,AB$132,0))</f>
        <v>21</v>
      </c>
      <c r="AC6" s="333">
        <f ca="1">IF(OR($A6="",TYPE(VLOOKUP($A6,Centrum!$D$3:$M$130,10,0))&gt;3),"",VLOOKUP(VLOOKUP($A6,Centrum!$D$3:$M$130,10,0),Centrum!$A$3:$CB$130,AC$132,0))</f>
        <v>1</v>
      </c>
      <c r="AD6" s="333">
        <f ca="1">IF(OR($A6="",TYPE(VLOOKUP($A6,Centrum!$D$3:$M$130,10,0))&gt;3),"",VLOOKUP(VLOOKUP($A6,Centrum!$D$3:$M$130,10,0),Centrum!$A$3:$CB$130,AD$132,0))</f>
        <v>5</v>
      </c>
      <c r="AK6" s="333">
        <f ca="1">IF(OR($A6="",TYPE(VLOOKUP($A6,Centrum!$D$3:$M$130,10,0))&gt;3),"",VLOOKUP(VLOOKUP($A6,Centrum!$D$3:$M$130,10,0),Centrum!$A$3:$CB$130,AK$132,0))</f>
        <v>16</v>
      </c>
      <c r="AL6" s="333">
        <f ca="1">IF(OR($A6="",TYPE(VLOOKUP($A6,Centrum!$D$3:$M$130,10,0))&gt;3),"",VLOOKUP(VLOOKUP($A6,Centrum!$D$3:$M$130,10,0),Centrum!$A$3:$CB$130,AL$132,0))</f>
        <v>1</v>
      </c>
      <c r="AM6" s="333">
        <f ca="1">IF(OR($A6="",TYPE(VLOOKUP($A6,Centrum!$D$3:$M$130,10,0))&gt;3),"",VLOOKUP(VLOOKUP($A6,Centrum!$D$3:$M$130,10,0),Centrum!$A$3:$CB$130,AM$132,0))</f>
        <v>4</v>
      </c>
      <c r="AT6" s="333">
        <f ca="1">IF(OR(OR($A6="",TYPE(VLOOKUP($A6,Centrum!$D$3:$M$130,10,0))&gt;3),$A$1&lt;4),"",VLOOKUP(VLOOKUP($A6,Centrum!$D$3:$M$130,10,0),Centrum!$A$3:$CB$130,AT$132,0))</f>
        <v>2</v>
      </c>
      <c r="AU6" s="333">
        <f ca="1">IF(OR(OR($A6="",TYPE(VLOOKUP($A6,Centrum!$D$3:$M$130,10,0))&gt;3),$A$1&lt;4),"",VLOOKUP(VLOOKUP($A6,Centrum!$D$3:$M$130,10,0),Centrum!$A$3:$CB$130,AU$132,0))</f>
        <v>0</v>
      </c>
      <c r="AV6" s="333">
        <f ca="1">IF(OR(OR($A6="",TYPE(VLOOKUP($A6,Centrum!$D$3:$M$130,10,0))&gt;3),$A$1&lt;4),"",VLOOKUP(VLOOKUP($A6,Centrum!$D$3:$M$130,10,0),Centrum!$A$3:$CB$130,AV$132,0))</f>
        <v>-10</v>
      </c>
      <c r="BC6" s="333" t="str">
        <f>IF(OR(OR($A6="",TYPE(VLOOKUP($A6,Centrum!$D$3:$M$130,10,0))&gt;3),$A$1&lt;5),"",VLOOKUP(VLOOKUP($A6,Centrum!$D$3:$M$130,10,0),Centrum!$A$3:$CB$130,BC$132,0))</f>
        <v/>
      </c>
      <c r="BD6" s="333" t="str">
        <f>IF(OR(OR($A6="",TYPE(VLOOKUP($A6,Centrum!$D$3:$M$130,10,0))&gt;3),$A$1&lt;5),"",VLOOKUP(VLOOKUP($A6,Centrum!$D$3:$M$130,10,0),Centrum!$A$3:$CB$130,BD$132,0))</f>
        <v/>
      </c>
      <c r="BE6" s="333" t="str">
        <f>IF(OR(OR($A6="",TYPE(VLOOKUP($A6,Centrum!$D$3:$M$130,10,0))&gt;3),$A$1&lt;5),"",VLOOKUP(VLOOKUP($A6,Centrum!$D$3:$M$130,10,0),Centrum!$A$3:$CB$130,BE$132,0))</f>
        <v/>
      </c>
      <c r="BL6" s="333" t="str">
        <f>IF(OR(OR($A6="",TYPE(VLOOKUP($A6,Centrum!$D$3:$M$130,10,0))&gt;3),$A$1&lt;6),"",VLOOKUP(VLOOKUP($A6,Centrum!$D$3:$M$130,10,0),Centrum!$A$3:$CB$130,BL$132,0))</f>
        <v/>
      </c>
      <c r="BM6" s="333" t="str">
        <f>IF(OR(OR($A6="",TYPE(VLOOKUP($A6,Centrum!$D$3:$M$130,10,0))&gt;3),$A$1&lt;6),"",VLOOKUP(VLOOKUP($A6,Centrum!$D$3:$M$130,10,0),Centrum!$A$3:$CB$130,BM$132,0))</f>
        <v/>
      </c>
      <c r="BN6" s="333" t="str">
        <f>IF(OR(OR($A6="",TYPE(VLOOKUP($A6,Centrum!$D$3:$M$130,10,0))&gt;3),$A$1&lt;6),"",VLOOKUP(VLOOKUP($A6,Centrum!$D$3:$M$130,10,0),Centrum!$A$3:$CB$130,BN$132,0))</f>
        <v/>
      </c>
    </row>
    <row r="7" spans="1:69" x14ac:dyDescent="0.25">
      <c r="A7" s="333">
        <f>Centrum!A7</f>
        <v>5</v>
      </c>
      <c r="B7" s="439" t="str">
        <f>IF(OR($A7="",TYPE(VLOOKUP($A7,Centrum!$D$3:$M$130,10,0))&gt;3),"",VLOOKUP(VLOOKUP(A7,Centrum!$D$3:$M$130,10,0),Centrum!$A$3:$CB$130,B$132,0))</f>
        <v>45 Spolek Park Grébovka - Kremlík Miroslav</v>
      </c>
      <c r="C7" s="333">
        <f>IF(OR($A7="",TYPE(VLOOKUP($A7,Centrum!$D$3:$M$130,10,0))&gt;3),"",VLOOKUP($A7,Centrum!$D$3:$M$130,10,0))</f>
        <v>45</v>
      </c>
      <c r="E7" s="333">
        <f ca="1">IF(OR($A7="",TYPE(VLOOKUP($A7,Centrum!$D$3:$M$130,10,0))&gt;3),"",VLOOKUP(VLOOKUP($A7,Centrum!$D$3:$M$130,10,0),Centrum!$A$3:$CB$130,E$132,0))</f>
        <v>3</v>
      </c>
      <c r="F7" s="333">
        <f ca="1">IF(OR($A7="",TYPE(VLOOKUP($A7,Centrum!$D$3:$M$130,10,0))&gt;3),"",VLOOKUP(VLOOKUP($A7,Centrum!$D$3:$M$130,10,0),Centrum!$A$3:$CB$130,F$132,0))</f>
        <v>11</v>
      </c>
      <c r="G7" s="333">
        <f ca="1">IF(OR($A7="",TYPE(VLOOKUP($A7,Centrum!$D$3:$M$130,10,0))&gt;3),"",VLOOKUP(VLOOKUP($A7,Centrum!$D$3:$M$130,10,0),Centrum!$A$3:$CB$130,G$132,0))</f>
        <v>36</v>
      </c>
      <c r="H7" s="333">
        <f ca="1">IF($A7="","",VLOOKUP(VLOOKUP($A7,Centrum!$D$3:$M$130,10,0),Centrum!$A$3:$CB$130,H$132,0))</f>
        <v>7</v>
      </c>
      <c r="I7" s="333">
        <f ca="1">IF($A7="","",VLOOKUP(VLOOKUP($A7,Centrum!$D$3:$M$130,10,0),Centrum!$A$3:$CB$130,I$132,0))</f>
        <v>3</v>
      </c>
      <c r="J7" s="333">
        <f ca="1">IF(OR($A7="",TYPE(VLOOKUP($A7,Centrum!$D$3:$M$130,10,0))&gt;3),"",VLOOKUP(VLOOKUP($A7,Centrum!$D$3:$M$130,10,0),Centrum!$A$3:$CB$130,J$132,0))</f>
        <v>2</v>
      </c>
      <c r="L7" s="333">
        <f ca="1">IF(OR($A7="",TYPE(VLOOKUP($A7,Centrum!$D$3:$M$130,10,0))&gt;3),"",VLOOKUP(VLOOKUP($A7,Centrum!$D$3:$M$130,10,0),Centrum!$A$3:$CB$130,L$132,0))</f>
        <v>20</v>
      </c>
      <c r="M7" s="333">
        <f ca="1">IF(OR($A7="",TYPE(VLOOKUP($A7,Centrum!$D$3:$M$130,10,0))&gt;3),"",VLOOKUP(VLOOKUP($A7,Centrum!$D$3:$M$130,10,0),Centrum!$A$3:$CB$130,M$132,0))</f>
        <v>8</v>
      </c>
      <c r="N7" s="333">
        <f ca="1">IF(OR($A7="",TYPE(VLOOKUP($A7,Centrum!$D$3:$M$130,10,0))&gt;3),"",VLOOKUP(VLOOKUP($A7,Centrum!$D$3:$M$130,10,0),Centrum!$A$3:$CB$130,N$132,0))</f>
        <v>6</v>
      </c>
      <c r="O7" s="333">
        <f ca="1">IF(OR($A7="",TYPE(VLOOKUP($A7,Centrum!$D$3:$M$130,10,0))&gt;3),"",VLOOKUP(VLOOKUP($A7,Centrum!$D$3:$M$130,10,0),Centrum!$A$3:$CB$130,O$132,0))</f>
        <v>31</v>
      </c>
      <c r="P7" s="333">
        <f ca="1">IF(OR($A7="",TYPE(VLOOKUP($A7,Centrum!$D$3:$M$130,10,0))&gt;3),"",VLOOKUP(VLOOKUP($A7,Centrum!$D$3:$M$130,10,0),Centrum!$A$3:$CB$130,P$132,0))</f>
        <v>0</v>
      </c>
      <c r="Q7" s="333">
        <f ca="1">IF(OR($A7="",TYPE(VLOOKUP($A7,Centrum!$D$3:$M$130,10,0))&gt;3),"",VLOOKUP(VLOOKUP($A7,Centrum!$D$3:$M$130,10,0),Centrum!$A$3:$CB$130,Q$132,0))</f>
        <v>0</v>
      </c>
      <c r="S7" s="333">
        <f ca="1">IF(OR($A7="",TYPE(VLOOKUP($A7,Centrum!$D$3:$M$130,10,0))&gt;3),"",VLOOKUP(VLOOKUP($A7,Centrum!$D$3:$M$130,10,0),Centrum!$A$3:$CB$130,S$132,0))</f>
        <v>20</v>
      </c>
      <c r="T7" s="333">
        <f ca="1">IF(OR($A7="",TYPE(VLOOKUP($A7,Centrum!$D$3:$M$130,10,0))&gt;3),"",VLOOKUP(VLOOKUP($A7,Centrum!$D$3:$M$130,10,0),Centrum!$A$3:$CB$130,T$132,0))</f>
        <v>1</v>
      </c>
      <c r="U7" s="333">
        <f ca="1">IF(OR($A7="",TYPE(VLOOKUP($A7,Centrum!$D$3:$M$130,10,0))&gt;3),"",VLOOKUP(VLOOKUP($A7,Centrum!$D$3:$M$130,10,0),Centrum!$A$3:$CB$130,U$132,0))</f>
        <v>1</v>
      </c>
      <c r="AB7" s="333">
        <f ca="1">IF(OR($A7="",TYPE(VLOOKUP($A7,Centrum!$D$3:$M$130,10,0))&gt;3),"",VLOOKUP(VLOOKUP($A7,Centrum!$D$3:$M$130,10,0),Centrum!$A$3:$CB$130,AB$132,0))</f>
        <v>8</v>
      </c>
      <c r="AC7" s="333">
        <f ca="1">IF(OR($A7="",TYPE(VLOOKUP($A7,Centrum!$D$3:$M$130,10,0))&gt;3),"",VLOOKUP(VLOOKUP($A7,Centrum!$D$3:$M$130,10,0),Centrum!$A$3:$CB$130,AC$132,0))</f>
        <v>1</v>
      </c>
      <c r="AD7" s="333">
        <f ca="1">IF(OR($A7="",TYPE(VLOOKUP($A7,Centrum!$D$3:$M$130,10,0))&gt;3),"",VLOOKUP(VLOOKUP($A7,Centrum!$D$3:$M$130,10,0),Centrum!$A$3:$CB$130,AD$132,0))</f>
        <v>4</v>
      </c>
      <c r="AK7" s="333">
        <f ca="1">IF(OR($A7="",TYPE(VLOOKUP($A7,Centrum!$D$3:$M$130,10,0))&gt;3),"",VLOOKUP(VLOOKUP($A7,Centrum!$D$3:$M$130,10,0),Centrum!$A$3:$CB$130,AK$132,0))</f>
        <v>6</v>
      </c>
      <c r="AL7" s="333">
        <f ca="1">IF(OR($A7="",TYPE(VLOOKUP($A7,Centrum!$D$3:$M$130,10,0))&gt;3),"",VLOOKUP(VLOOKUP($A7,Centrum!$D$3:$M$130,10,0),Centrum!$A$3:$CB$130,AL$132,0))</f>
        <v>0</v>
      </c>
      <c r="AM7" s="333">
        <f ca="1">IF(OR($A7="",TYPE(VLOOKUP($A7,Centrum!$D$3:$M$130,10,0))&gt;3),"",VLOOKUP(VLOOKUP($A7,Centrum!$D$3:$M$130,10,0),Centrum!$A$3:$CB$130,AM$132,0))</f>
        <v>-10</v>
      </c>
      <c r="AT7" s="333">
        <f ca="1">IF(OR(OR($A7="",TYPE(VLOOKUP($A7,Centrum!$D$3:$M$130,10,0))&gt;3),$A$1&lt;4),"",VLOOKUP(VLOOKUP($A7,Centrum!$D$3:$M$130,10,0),Centrum!$A$3:$CB$130,AT$132,0))</f>
        <v>31</v>
      </c>
      <c r="AU7" s="333">
        <f ca="1">IF(OR(OR($A7="",TYPE(VLOOKUP($A7,Centrum!$D$3:$M$130,10,0))&gt;3),$A$1&lt;4),"",VLOOKUP(VLOOKUP($A7,Centrum!$D$3:$M$130,10,0),Centrum!$A$3:$CB$130,AU$132,0))</f>
        <v>1</v>
      </c>
      <c r="AV7" s="333">
        <f ca="1">IF(OR(OR($A7="",TYPE(VLOOKUP($A7,Centrum!$D$3:$M$130,10,0))&gt;3),$A$1&lt;4),"",VLOOKUP(VLOOKUP($A7,Centrum!$D$3:$M$130,10,0),Centrum!$A$3:$CB$130,AV$132,0))</f>
        <v>7</v>
      </c>
      <c r="BC7" s="333" t="str">
        <f>IF(OR(OR($A7="",TYPE(VLOOKUP($A7,Centrum!$D$3:$M$130,10,0))&gt;3),$A$1&lt;5),"",VLOOKUP(VLOOKUP($A7,Centrum!$D$3:$M$130,10,0),Centrum!$A$3:$CB$130,BC$132,0))</f>
        <v/>
      </c>
      <c r="BD7" s="333" t="str">
        <f>IF(OR(OR($A7="",TYPE(VLOOKUP($A7,Centrum!$D$3:$M$130,10,0))&gt;3),$A$1&lt;5),"",VLOOKUP(VLOOKUP($A7,Centrum!$D$3:$M$130,10,0),Centrum!$A$3:$CB$130,BD$132,0))</f>
        <v/>
      </c>
      <c r="BE7" s="333" t="str">
        <f>IF(OR(OR($A7="",TYPE(VLOOKUP($A7,Centrum!$D$3:$M$130,10,0))&gt;3),$A$1&lt;5),"",VLOOKUP(VLOOKUP($A7,Centrum!$D$3:$M$130,10,0),Centrum!$A$3:$CB$130,BE$132,0))</f>
        <v/>
      </c>
      <c r="BL7" s="333" t="str">
        <f>IF(OR(OR($A7="",TYPE(VLOOKUP($A7,Centrum!$D$3:$M$130,10,0))&gt;3),$A$1&lt;6),"",VLOOKUP(VLOOKUP($A7,Centrum!$D$3:$M$130,10,0),Centrum!$A$3:$CB$130,BL$132,0))</f>
        <v/>
      </c>
      <c r="BM7" s="333" t="str">
        <f>IF(OR(OR($A7="",TYPE(VLOOKUP($A7,Centrum!$D$3:$M$130,10,0))&gt;3),$A$1&lt;6),"",VLOOKUP(VLOOKUP($A7,Centrum!$D$3:$M$130,10,0),Centrum!$A$3:$CB$130,BM$132,0))</f>
        <v/>
      </c>
      <c r="BN7" s="333" t="str">
        <f>IF(OR(OR($A7="",TYPE(VLOOKUP($A7,Centrum!$D$3:$M$130,10,0))&gt;3),$A$1&lt;6),"",VLOOKUP(VLOOKUP($A7,Centrum!$D$3:$M$130,10,0),Centrum!$A$3:$CB$130,BN$132,0))</f>
        <v/>
      </c>
    </row>
    <row r="8" spans="1:69" x14ac:dyDescent="0.25">
      <c r="A8" s="333">
        <f>Centrum!A8</f>
        <v>6</v>
      </c>
      <c r="B8" s="439" t="str">
        <f>IF(OR($A8="",TYPE(VLOOKUP($A8,Centrum!$D$3:$M$130,10,0))&gt;3),"",VLOOKUP(VLOOKUP(A8,Centrum!$D$3:$M$130,10,0),Centrum!$A$3:$CB$130,B$132,0))</f>
        <v>22 UBU Únětice - Palas Pavel</v>
      </c>
      <c r="C8" s="333">
        <f>IF(OR($A8="",TYPE(VLOOKUP($A8,Centrum!$D$3:$M$130,10,0))&gt;3),"",VLOOKUP($A8,Centrum!$D$3:$M$130,10,0))</f>
        <v>22</v>
      </c>
      <c r="E8" s="333">
        <f ca="1">IF(OR($A8="",TYPE(VLOOKUP($A8,Centrum!$D$3:$M$130,10,0))&gt;3),"",VLOOKUP(VLOOKUP($A8,Centrum!$D$3:$M$130,10,0),Centrum!$A$3:$CB$130,E$132,0))</f>
        <v>3</v>
      </c>
      <c r="F8" s="333">
        <f ca="1">IF(OR($A8="",TYPE(VLOOKUP($A8,Centrum!$D$3:$M$130,10,0))&gt;3),"",VLOOKUP(VLOOKUP($A8,Centrum!$D$3:$M$130,10,0),Centrum!$A$3:$CB$130,F$132,0))</f>
        <v>10</v>
      </c>
      <c r="G8" s="333">
        <f ca="1">IF(OR($A8="",TYPE(VLOOKUP($A8,Centrum!$D$3:$M$130,10,0))&gt;3),"",VLOOKUP(VLOOKUP($A8,Centrum!$D$3:$M$130,10,0),Centrum!$A$3:$CB$130,G$132,0))</f>
        <v>34</v>
      </c>
      <c r="H8" s="333">
        <f ca="1">IF($A8="","",VLOOKUP(VLOOKUP($A8,Centrum!$D$3:$M$130,10,0),Centrum!$A$3:$CB$130,H$132,0))</f>
        <v>6</v>
      </c>
      <c r="I8" s="333">
        <f ca="1">IF($A8="","",VLOOKUP(VLOOKUP($A8,Centrum!$D$3:$M$130,10,0),Centrum!$A$3:$CB$130,I$132,0))</f>
        <v>0</v>
      </c>
      <c r="J8" s="333">
        <f ca="1">IF(OR($A8="",TYPE(VLOOKUP($A8,Centrum!$D$3:$M$130,10,0))&gt;3),"",VLOOKUP(VLOOKUP($A8,Centrum!$D$3:$M$130,10,0),Centrum!$A$3:$CB$130,J$132,0))</f>
        <v>10</v>
      </c>
      <c r="L8" s="333">
        <f ca="1">IF(OR($A8="",TYPE(VLOOKUP($A8,Centrum!$D$3:$M$130,10,0))&gt;3),"",VLOOKUP(VLOOKUP($A8,Centrum!$D$3:$M$130,10,0),Centrum!$A$3:$CB$130,L$132,0))</f>
        <v>47</v>
      </c>
      <c r="M8" s="333">
        <f ca="1">IF(OR($A8="",TYPE(VLOOKUP($A8,Centrum!$D$3:$M$130,10,0))&gt;3),"",VLOOKUP(VLOOKUP($A8,Centrum!$D$3:$M$130,10,0),Centrum!$A$3:$CB$130,M$132,0))</f>
        <v>1</v>
      </c>
      <c r="N8" s="333">
        <f ca="1">IF(OR($A8="",TYPE(VLOOKUP($A8,Centrum!$D$3:$M$130,10,0))&gt;3),"",VLOOKUP(VLOOKUP($A8,Centrum!$D$3:$M$130,10,0),Centrum!$A$3:$CB$130,N$132,0))</f>
        <v>11</v>
      </c>
      <c r="O8" s="333">
        <f ca="1">IF(OR($A8="",TYPE(VLOOKUP($A8,Centrum!$D$3:$M$130,10,0))&gt;3),"",VLOOKUP(VLOOKUP($A8,Centrum!$D$3:$M$130,10,0),Centrum!$A$3:$CB$130,O$132,0))</f>
        <v>24</v>
      </c>
      <c r="P8" s="333">
        <f ca="1">IF(OR($A8="",TYPE(VLOOKUP($A8,Centrum!$D$3:$M$130,10,0))&gt;3),"",VLOOKUP(VLOOKUP($A8,Centrum!$D$3:$M$130,10,0),Centrum!$A$3:$CB$130,P$132,0))</f>
        <v>0</v>
      </c>
      <c r="Q8" s="333">
        <f ca="1">IF(OR($A8="",TYPE(VLOOKUP($A8,Centrum!$D$3:$M$130,10,0))&gt;3),"",VLOOKUP(VLOOKUP($A8,Centrum!$D$3:$M$130,10,0),Centrum!$A$3:$CB$130,Q$132,0))</f>
        <v>0</v>
      </c>
      <c r="S8" s="333">
        <f ca="1">IF(OR($A8="",TYPE(VLOOKUP($A8,Centrum!$D$3:$M$130,10,0))&gt;3),"",VLOOKUP(VLOOKUP($A8,Centrum!$D$3:$M$130,10,0),Centrum!$A$3:$CB$130,S$132,0))</f>
        <v>47</v>
      </c>
      <c r="T8" s="333">
        <f ca="1">IF(OR($A8="",TYPE(VLOOKUP($A8,Centrum!$D$3:$M$130,10,0))&gt;3),"",VLOOKUP(VLOOKUP($A8,Centrum!$D$3:$M$130,10,0),Centrum!$A$3:$CB$130,T$132,0))</f>
        <v>1</v>
      </c>
      <c r="U8" s="333">
        <f ca="1">IF(OR($A8="",TYPE(VLOOKUP($A8,Centrum!$D$3:$M$130,10,0))&gt;3),"",VLOOKUP(VLOOKUP($A8,Centrum!$D$3:$M$130,10,0),Centrum!$A$3:$CB$130,U$132,0))</f>
        <v>3</v>
      </c>
      <c r="AB8" s="333">
        <f ca="1">IF(OR($A8="",TYPE(VLOOKUP($A8,Centrum!$D$3:$M$130,10,0))&gt;3),"",VLOOKUP(VLOOKUP($A8,Centrum!$D$3:$M$130,10,0),Centrum!$A$3:$CB$130,AB$132,0))</f>
        <v>1</v>
      </c>
      <c r="AC8" s="333">
        <f ca="1">IF(OR($A8="",TYPE(VLOOKUP($A8,Centrum!$D$3:$M$130,10,0))&gt;3),"",VLOOKUP(VLOOKUP($A8,Centrum!$D$3:$M$130,10,0),Centrum!$A$3:$CB$130,AC$132,0))</f>
        <v>1</v>
      </c>
      <c r="AD8" s="333">
        <f ca="1">IF(OR($A8="",TYPE(VLOOKUP($A8,Centrum!$D$3:$M$130,10,0))&gt;3),"",VLOOKUP(VLOOKUP($A8,Centrum!$D$3:$M$130,10,0),Centrum!$A$3:$CB$130,AD$132,0))</f>
        <v>10</v>
      </c>
      <c r="AK8" s="333">
        <f ca="1">IF(OR($A8="",TYPE(VLOOKUP($A8,Centrum!$D$3:$M$130,10,0))&gt;3),"",VLOOKUP(VLOOKUP($A8,Centrum!$D$3:$M$130,10,0),Centrum!$A$3:$CB$130,AK$132,0))</f>
        <v>11</v>
      </c>
      <c r="AL8" s="333">
        <f ca="1">IF(OR($A8="",TYPE(VLOOKUP($A8,Centrum!$D$3:$M$130,10,0))&gt;3),"",VLOOKUP(VLOOKUP($A8,Centrum!$D$3:$M$130,10,0),Centrum!$A$3:$CB$130,AL$132,0))</f>
        <v>0</v>
      </c>
      <c r="AM8" s="333">
        <f ca="1">IF(OR($A8="",TYPE(VLOOKUP($A8,Centrum!$D$3:$M$130,10,0))&gt;3),"",VLOOKUP(VLOOKUP($A8,Centrum!$D$3:$M$130,10,0),Centrum!$A$3:$CB$130,AM$132,0))</f>
        <v>-9</v>
      </c>
      <c r="AT8" s="333">
        <f ca="1">IF(OR(OR($A8="",TYPE(VLOOKUP($A8,Centrum!$D$3:$M$130,10,0))&gt;3),$A$1&lt;4),"",VLOOKUP(VLOOKUP($A8,Centrum!$D$3:$M$130,10,0),Centrum!$A$3:$CB$130,AT$132,0))</f>
        <v>24</v>
      </c>
      <c r="AU8" s="333">
        <f ca="1">IF(OR(OR($A8="",TYPE(VLOOKUP($A8,Centrum!$D$3:$M$130,10,0))&gt;3),$A$1&lt;4),"",VLOOKUP(VLOOKUP($A8,Centrum!$D$3:$M$130,10,0),Centrum!$A$3:$CB$130,AU$132,0))</f>
        <v>1</v>
      </c>
      <c r="AV8" s="333">
        <f ca="1">IF(OR(OR($A8="",TYPE(VLOOKUP($A8,Centrum!$D$3:$M$130,10,0))&gt;3),$A$1&lt;4),"",VLOOKUP(VLOOKUP($A8,Centrum!$D$3:$M$130,10,0),Centrum!$A$3:$CB$130,AV$132,0))</f>
        <v>6</v>
      </c>
      <c r="BC8" s="333" t="str">
        <f>IF(OR(OR($A8="",TYPE(VLOOKUP($A8,Centrum!$D$3:$M$130,10,0))&gt;3),$A$1&lt;5),"",VLOOKUP(VLOOKUP($A8,Centrum!$D$3:$M$130,10,0),Centrum!$A$3:$CB$130,BC$132,0))</f>
        <v/>
      </c>
      <c r="BD8" s="333" t="str">
        <f>IF(OR(OR($A8="",TYPE(VLOOKUP($A8,Centrum!$D$3:$M$130,10,0))&gt;3),$A$1&lt;5),"",VLOOKUP(VLOOKUP($A8,Centrum!$D$3:$M$130,10,0),Centrum!$A$3:$CB$130,BD$132,0))</f>
        <v/>
      </c>
      <c r="BE8" s="333" t="str">
        <f>IF(OR(OR($A8="",TYPE(VLOOKUP($A8,Centrum!$D$3:$M$130,10,0))&gt;3),$A$1&lt;5),"",VLOOKUP(VLOOKUP($A8,Centrum!$D$3:$M$130,10,0),Centrum!$A$3:$CB$130,BE$132,0))</f>
        <v/>
      </c>
      <c r="BL8" s="333" t="str">
        <f>IF(OR(OR($A8="",TYPE(VLOOKUP($A8,Centrum!$D$3:$M$130,10,0))&gt;3),$A$1&lt;6),"",VLOOKUP(VLOOKUP($A8,Centrum!$D$3:$M$130,10,0),Centrum!$A$3:$CB$130,BL$132,0))</f>
        <v/>
      </c>
      <c r="BM8" s="333" t="str">
        <f>IF(OR(OR($A8="",TYPE(VLOOKUP($A8,Centrum!$D$3:$M$130,10,0))&gt;3),$A$1&lt;6),"",VLOOKUP(VLOOKUP($A8,Centrum!$D$3:$M$130,10,0),Centrum!$A$3:$CB$130,BM$132,0))</f>
        <v/>
      </c>
      <c r="BN8" s="333" t="str">
        <f>IF(OR(OR($A8="",TYPE(VLOOKUP($A8,Centrum!$D$3:$M$130,10,0))&gt;3),$A$1&lt;6),"",VLOOKUP(VLOOKUP($A8,Centrum!$D$3:$M$130,10,0),Centrum!$A$3:$CB$130,BN$132,0))</f>
        <v/>
      </c>
    </row>
    <row r="9" spans="1:69" x14ac:dyDescent="0.25">
      <c r="A9" s="333">
        <f>Centrum!A9</f>
        <v>7</v>
      </c>
      <c r="B9" s="439" t="str">
        <f>IF(OR($A9="",TYPE(VLOOKUP($A9,Centrum!$D$3:$M$130,10,0))&gt;3),"",VLOOKUP(VLOOKUP(A9,Centrum!$D$3:$M$130,10,0),Centrum!$A$3:$CB$130,B$132,0))</f>
        <v>43 SK Španielka Řepy - Holoubek Pavel</v>
      </c>
      <c r="C9" s="333">
        <f>IF(OR($A9="",TYPE(VLOOKUP($A9,Centrum!$D$3:$M$130,10,0))&gt;3),"",VLOOKUP($A9,Centrum!$D$3:$M$130,10,0))</f>
        <v>43</v>
      </c>
      <c r="E9" s="333">
        <f ca="1">IF(OR($A9="",TYPE(VLOOKUP($A9,Centrum!$D$3:$M$130,10,0))&gt;3),"",VLOOKUP(VLOOKUP($A9,Centrum!$D$3:$M$130,10,0),Centrum!$A$3:$CB$130,E$132,0))</f>
        <v>3</v>
      </c>
      <c r="F9" s="333">
        <f ca="1">IF(OR($A9="",TYPE(VLOOKUP($A9,Centrum!$D$3:$M$130,10,0))&gt;3),"",VLOOKUP(VLOOKUP($A9,Centrum!$D$3:$M$130,10,0),Centrum!$A$3:$CB$130,F$132,0))</f>
        <v>10</v>
      </c>
      <c r="G9" s="333">
        <f ca="1">IF(OR($A9="",TYPE(VLOOKUP($A9,Centrum!$D$3:$M$130,10,0))&gt;3),"",VLOOKUP(VLOOKUP($A9,Centrum!$D$3:$M$130,10,0),Centrum!$A$3:$CB$130,G$132,0))</f>
        <v>33</v>
      </c>
      <c r="H9" s="333">
        <f ca="1">IF($A9="","",VLOOKUP(VLOOKUP($A9,Centrum!$D$3:$M$130,10,0),Centrum!$A$3:$CB$130,H$132,0))</f>
        <v>6</v>
      </c>
      <c r="I9" s="333">
        <f ca="1">IF($A9="","",VLOOKUP(VLOOKUP($A9,Centrum!$D$3:$M$130,10,0),Centrum!$A$3:$CB$130,I$132,0))</f>
        <v>3</v>
      </c>
      <c r="J9" s="333">
        <f ca="1">IF(OR($A9="",TYPE(VLOOKUP($A9,Centrum!$D$3:$M$130,10,0))&gt;3),"",VLOOKUP(VLOOKUP($A9,Centrum!$D$3:$M$130,10,0),Centrum!$A$3:$CB$130,J$132,0))</f>
        <v>17</v>
      </c>
      <c r="L9" s="333">
        <f ca="1">IF(OR($A9="",TYPE(VLOOKUP($A9,Centrum!$D$3:$M$130,10,0))&gt;3),"",VLOOKUP(VLOOKUP($A9,Centrum!$D$3:$M$130,10,0),Centrum!$A$3:$CB$130,L$132,0))</f>
        <v>18</v>
      </c>
      <c r="M9" s="333">
        <f ca="1">IF(OR($A9="",TYPE(VLOOKUP($A9,Centrum!$D$3:$M$130,10,0))&gt;3),"",VLOOKUP(VLOOKUP($A9,Centrum!$D$3:$M$130,10,0),Centrum!$A$3:$CB$130,M$132,0))</f>
        <v>14</v>
      </c>
      <c r="N9" s="333">
        <f ca="1">IF(OR($A9="",TYPE(VLOOKUP($A9,Centrum!$D$3:$M$130,10,0))&gt;3),"",VLOOKUP(VLOOKUP($A9,Centrum!$D$3:$M$130,10,0),Centrum!$A$3:$CB$130,N$132,0))</f>
        <v>24</v>
      </c>
      <c r="O9" s="333">
        <f ca="1">IF(OR($A9="",TYPE(VLOOKUP($A9,Centrum!$D$3:$M$130,10,0))&gt;3),"",VLOOKUP(VLOOKUP($A9,Centrum!$D$3:$M$130,10,0),Centrum!$A$3:$CB$130,O$132,0))</f>
        <v>11</v>
      </c>
      <c r="P9" s="333">
        <f ca="1">IF(OR($A9="",TYPE(VLOOKUP($A9,Centrum!$D$3:$M$130,10,0))&gt;3),"",VLOOKUP(VLOOKUP($A9,Centrum!$D$3:$M$130,10,0),Centrum!$A$3:$CB$130,P$132,0))</f>
        <v>0</v>
      </c>
      <c r="Q9" s="333">
        <f ca="1">IF(OR($A9="",TYPE(VLOOKUP($A9,Centrum!$D$3:$M$130,10,0))&gt;3),"",VLOOKUP(VLOOKUP($A9,Centrum!$D$3:$M$130,10,0),Centrum!$A$3:$CB$130,Q$132,0))</f>
        <v>0</v>
      </c>
      <c r="S9" s="333">
        <f ca="1">IF(OR($A9="",TYPE(VLOOKUP($A9,Centrum!$D$3:$M$130,10,0))&gt;3),"",VLOOKUP(VLOOKUP($A9,Centrum!$D$3:$M$130,10,0),Centrum!$A$3:$CB$130,S$132,0))</f>
        <v>18</v>
      </c>
      <c r="T9" s="333">
        <f ca="1">IF(OR($A9="",TYPE(VLOOKUP($A9,Centrum!$D$3:$M$130,10,0))&gt;3),"",VLOOKUP(VLOOKUP($A9,Centrum!$D$3:$M$130,10,0),Centrum!$A$3:$CB$130,T$132,0))</f>
        <v>1</v>
      </c>
      <c r="U9" s="333">
        <f ca="1">IF(OR($A9="",TYPE(VLOOKUP($A9,Centrum!$D$3:$M$130,10,0))&gt;3),"",VLOOKUP(VLOOKUP($A9,Centrum!$D$3:$M$130,10,0),Centrum!$A$3:$CB$130,U$132,0))</f>
        <v>2</v>
      </c>
      <c r="AB9" s="333">
        <f ca="1">IF(OR($A9="",TYPE(VLOOKUP($A9,Centrum!$D$3:$M$130,10,0))&gt;3),"",VLOOKUP(VLOOKUP($A9,Centrum!$D$3:$M$130,10,0),Centrum!$A$3:$CB$130,AB$132,0))</f>
        <v>14</v>
      </c>
      <c r="AC9" s="333">
        <f ca="1">IF(OR($A9="",TYPE(VLOOKUP($A9,Centrum!$D$3:$M$130,10,0))&gt;3),"",VLOOKUP(VLOOKUP($A9,Centrum!$D$3:$M$130,10,0),Centrum!$A$3:$CB$130,AC$132,0))</f>
        <v>1</v>
      </c>
      <c r="AD9" s="333">
        <f ca="1">IF(OR($A9="",TYPE(VLOOKUP($A9,Centrum!$D$3:$M$130,10,0))&gt;3),"",VLOOKUP(VLOOKUP($A9,Centrum!$D$3:$M$130,10,0),Centrum!$A$3:$CB$130,AD$132,0))</f>
        <v>7</v>
      </c>
      <c r="AK9" s="333">
        <f ca="1">IF(OR($A9="",TYPE(VLOOKUP($A9,Centrum!$D$3:$M$130,10,0))&gt;3),"",VLOOKUP(VLOOKUP($A9,Centrum!$D$3:$M$130,10,0),Centrum!$A$3:$CB$130,AK$132,0))</f>
        <v>24</v>
      </c>
      <c r="AL9" s="333">
        <f ca="1">IF(OR($A9="",TYPE(VLOOKUP($A9,Centrum!$D$3:$M$130,10,0))&gt;3),"",VLOOKUP(VLOOKUP($A9,Centrum!$D$3:$M$130,10,0),Centrum!$A$3:$CB$130,AL$132,0))</f>
        <v>1</v>
      </c>
      <c r="AM9" s="333">
        <f ca="1">IF(OR($A9="",TYPE(VLOOKUP($A9,Centrum!$D$3:$M$130,10,0))&gt;3),"",VLOOKUP(VLOOKUP($A9,Centrum!$D$3:$M$130,10,0),Centrum!$A$3:$CB$130,AM$132,0))</f>
        <v>13</v>
      </c>
      <c r="AT9" s="333">
        <f ca="1">IF(OR(OR($A9="",TYPE(VLOOKUP($A9,Centrum!$D$3:$M$130,10,0))&gt;3),$A$1&lt;4),"",VLOOKUP(VLOOKUP($A9,Centrum!$D$3:$M$130,10,0),Centrum!$A$3:$CB$130,AT$132,0))</f>
        <v>11</v>
      </c>
      <c r="AU9" s="333">
        <f ca="1">IF(OR(OR($A9="",TYPE(VLOOKUP($A9,Centrum!$D$3:$M$130,10,0))&gt;3),$A$1&lt;4),"",VLOOKUP(VLOOKUP($A9,Centrum!$D$3:$M$130,10,0),Centrum!$A$3:$CB$130,AU$132,0))</f>
        <v>0</v>
      </c>
      <c r="AV9" s="333">
        <f ca="1">IF(OR(OR($A9="",TYPE(VLOOKUP($A9,Centrum!$D$3:$M$130,10,0))&gt;3),$A$1&lt;4),"",VLOOKUP(VLOOKUP($A9,Centrum!$D$3:$M$130,10,0),Centrum!$A$3:$CB$130,AV$132,0))</f>
        <v>-5</v>
      </c>
      <c r="BC9" s="333" t="str">
        <f>IF(OR(OR($A9="",TYPE(VLOOKUP($A9,Centrum!$D$3:$M$130,10,0))&gt;3),$A$1&lt;5),"",VLOOKUP(VLOOKUP($A9,Centrum!$D$3:$M$130,10,0),Centrum!$A$3:$CB$130,BC$132,0))</f>
        <v/>
      </c>
      <c r="BD9" s="333" t="str">
        <f>IF(OR(OR($A9="",TYPE(VLOOKUP($A9,Centrum!$D$3:$M$130,10,0))&gt;3),$A$1&lt;5),"",VLOOKUP(VLOOKUP($A9,Centrum!$D$3:$M$130,10,0),Centrum!$A$3:$CB$130,BD$132,0))</f>
        <v/>
      </c>
      <c r="BE9" s="333" t="str">
        <f>IF(OR(OR($A9="",TYPE(VLOOKUP($A9,Centrum!$D$3:$M$130,10,0))&gt;3),$A$1&lt;5),"",VLOOKUP(VLOOKUP($A9,Centrum!$D$3:$M$130,10,0),Centrum!$A$3:$CB$130,BE$132,0))</f>
        <v/>
      </c>
      <c r="BL9" s="333" t="str">
        <f>IF(OR(OR($A9="",TYPE(VLOOKUP($A9,Centrum!$D$3:$M$130,10,0))&gt;3),$A$1&lt;6),"",VLOOKUP(VLOOKUP($A9,Centrum!$D$3:$M$130,10,0),Centrum!$A$3:$CB$130,BL$132,0))</f>
        <v/>
      </c>
      <c r="BM9" s="333" t="str">
        <f>IF(OR(OR($A9="",TYPE(VLOOKUP($A9,Centrum!$D$3:$M$130,10,0))&gt;3),$A$1&lt;6),"",VLOOKUP(VLOOKUP($A9,Centrum!$D$3:$M$130,10,0),Centrum!$A$3:$CB$130,BM$132,0))</f>
        <v/>
      </c>
      <c r="BN9" s="333" t="str">
        <f>IF(OR(OR($A9="",TYPE(VLOOKUP($A9,Centrum!$D$3:$M$130,10,0))&gt;3),$A$1&lt;6),"",VLOOKUP(VLOOKUP($A9,Centrum!$D$3:$M$130,10,0),Centrum!$A$3:$CB$130,BN$132,0))</f>
        <v/>
      </c>
    </row>
    <row r="10" spans="1:69" x14ac:dyDescent="0.25">
      <c r="A10" s="333">
        <f>Centrum!A10</f>
        <v>8</v>
      </c>
      <c r="B10" s="439" t="str">
        <f>IF(OR($A10="",TYPE(VLOOKUP($A10,Centrum!$D$3:$M$130,10,0))&gt;3),"",VLOOKUP(VLOOKUP(A10,Centrum!$D$3:$M$130,10,0),Centrum!$A$3:$CB$130,B$132,0))</f>
        <v>9 PK Osika Plzeň - Mráz Václav</v>
      </c>
      <c r="C10" s="333">
        <f>IF(OR($A10="",TYPE(VLOOKUP($A10,Centrum!$D$3:$M$130,10,0))&gt;3),"",VLOOKUP($A10,Centrum!$D$3:$M$130,10,0))</f>
        <v>9</v>
      </c>
      <c r="E10" s="333">
        <f ca="1">IF(OR($A10="",TYPE(VLOOKUP($A10,Centrum!$D$3:$M$130,10,0))&gt;3),"",VLOOKUP(VLOOKUP($A10,Centrum!$D$3:$M$130,10,0),Centrum!$A$3:$CB$130,E$132,0))</f>
        <v>3</v>
      </c>
      <c r="F10" s="333">
        <f ca="1">IF(OR($A10="",TYPE(VLOOKUP($A10,Centrum!$D$3:$M$130,10,0))&gt;3),"",VLOOKUP(VLOOKUP($A10,Centrum!$D$3:$M$130,10,0),Centrum!$A$3:$CB$130,F$132,0))</f>
        <v>10</v>
      </c>
      <c r="G10" s="333">
        <f ca="1">IF(OR($A10="",TYPE(VLOOKUP($A10,Centrum!$D$3:$M$130,10,0))&gt;3),"",VLOOKUP(VLOOKUP($A10,Centrum!$D$3:$M$130,10,0),Centrum!$A$3:$CB$130,G$132,0))</f>
        <v>30</v>
      </c>
      <c r="H10" s="333">
        <f ca="1">IF($A10="","",VLOOKUP(VLOOKUP($A10,Centrum!$D$3:$M$130,10,0),Centrum!$A$3:$CB$130,H$132,0))</f>
        <v>6</v>
      </c>
      <c r="I10" s="333">
        <f ca="1">IF($A10="","",VLOOKUP(VLOOKUP($A10,Centrum!$D$3:$M$130,10,0),Centrum!$A$3:$CB$130,I$132,0))</f>
        <v>0</v>
      </c>
      <c r="J10" s="333">
        <f ca="1">IF(OR($A10="",TYPE(VLOOKUP($A10,Centrum!$D$3:$M$130,10,0))&gt;3),"",VLOOKUP(VLOOKUP($A10,Centrum!$D$3:$M$130,10,0),Centrum!$A$3:$CB$130,J$132,0))</f>
        <v>-1</v>
      </c>
      <c r="L10" s="333">
        <f ca="1">IF(OR($A10="",TYPE(VLOOKUP($A10,Centrum!$D$3:$M$130,10,0))&gt;3),"",VLOOKUP(VLOOKUP($A10,Centrum!$D$3:$M$130,10,0),Centrum!$A$3:$CB$130,L$132,0))</f>
        <v>34</v>
      </c>
      <c r="M10" s="333">
        <f ca="1">IF(OR($A10="",TYPE(VLOOKUP($A10,Centrum!$D$3:$M$130,10,0))&gt;3),"",VLOOKUP(VLOOKUP($A10,Centrum!$D$3:$M$130,10,0),Centrum!$A$3:$CB$130,M$132,0))</f>
        <v>17</v>
      </c>
      <c r="N10" s="333">
        <f ca="1">IF(OR($A10="",TYPE(VLOOKUP($A10,Centrum!$D$3:$M$130,10,0))&gt;3),"",VLOOKUP(VLOOKUP($A10,Centrum!$D$3:$M$130,10,0),Centrum!$A$3:$CB$130,N$132,0))</f>
        <v>2</v>
      </c>
      <c r="O10" s="333">
        <f ca="1">IF(OR($A10="",TYPE(VLOOKUP($A10,Centrum!$D$3:$M$130,10,0))&gt;3),"",VLOOKUP(VLOOKUP($A10,Centrum!$D$3:$M$130,10,0),Centrum!$A$3:$CB$130,O$132,0))</f>
        <v>21</v>
      </c>
      <c r="P10" s="333">
        <f ca="1">IF(OR($A10="",TYPE(VLOOKUP($A10,Centrum!$D$3:$M$130,10,0))&gt;3),"",VLOOKUP(VLOOKUP($A10,Centrum!$D$3:$M$130,10,0),Centrum!$A$3:$CB$130,P$132,0))</f>
        <v>0</v>
      </c>
      <c r="Q10" s="333">
        <f ca="1">IF(OR($A10="",TYPE(VLOOKUP($A10,Centrum!$D$3:$M$130,10,0))&gt;3),"",VLOOKUP(VLOOKUP($A10,Centrum!$D$3:$M$130,10,0),Centrum!$A$3:$CB$130,Q$132,0))</f>
        <v>0</v>
      </c>
      <c r="S10" s="333">
        <f ca="1">IF(OR($A10="",TYPE(VLOOKUP($A10,Centrum!$D$3:$M$130,10,0))&gt;3),"",VLOOKUP(VLOOKUP($A10,Centrum!$D$3:$M$130,10,0),Centrum!$A$3:$CB$130,S$132,0))</f>
        <v>34</v>
      </c>
      <c r="T10" s="333">
        <f ca="1">IF(OR($A10="",TYPE(VLOOKUP($A10,Centrum!$D$3:$M$130,10,0))&gt;3),"",VLOOKUP(VLOOKUP($A10,Centrum!$D$3:$M$130,10,0),Centrum!$A$3:$CB$130,T$132,0))</f>
        <v>1</v>
      </c>
      <c r="U10" s="333">
        <f ca="1">IF(OR($A10="",TYPE(VLOOKUP($A10,Centrum!$D$3:$M$130,10,0))&gt;3),"",VLOOKUP(VLOOKUP($A10,Centrum!$D$3:$M$130,10,0),Centrum!$A$3:$CB$130,U$132,0))</f>
        <v>1</v>
      </c>
      <c r="AB10" s="333">
        <f ca="1">IF(OR($A10="",TYPE(VLOOKUP($A10,Centrum!$D$3:$M$130,10,0))&gt;3),"",VLOOKUP(VLOOKUP($A10,Centrum!$D$3:$M$130,10,0),Centrum!$A$3:$CB$130,AB$132,0))</f>
        <v>17</v>
      </c>
      <c r="AC10" s="333">
        <f ca="1">IF(OR($A10="",TYPE(VLOOKUP($A10,Centrum!$D$3:$M$130,10,0))&gt;3),"",VLOOKUP(VLOOKUP($A10,Centrum!$D$3:$M$130,10,0),Centrum!$A$3:$CB$130,AC$132,0))</f>
        <v>1</v>
      </c>
      <c r="AD10" s="333">
        <f ca="1">IF(OR($A10="",TYPE(VLOOKUP($A10,Centrum!$D$3:$M$130,10,0))&gt;3),"",VLOOKUP(VLOOKUP($A10,Centrum!$D$3:$M$130,10,0),Centrum!$A$3:$CB$130,AD$132,0))</f>
        <v>3</v>
      </c>
      <c r="AK10" s="333">
        <f ca="1">IF(OR($A10="",TYPE(VLOOKUP($A10,Centrum!$D$3:$M$130,10,0))&gt;3),"",VLOOKUP(VLOOKUP($A10,Centrum!$D$3:$M$130,10,0),Centrum!$A$3:$CB$130,AK$132,0))</f>
        <v>2</v>
      </c>
      <c r="AL10" s="333">
        <f ca="1">IF(OR($A10="",TYPE(VLOOKUP($A10,Centrum!$D$3:$M$130,10,0))&gt;3),"",VLOOKUP(VLOOKUP($A10,Centrum!$D$3:$M$130,10,0),Centrum!$A$3:$CB$130,AL$132,0))</f>
        <v>0</v>
      </c>
      <c r="AM10" s="333">
        <f ca="1">IF(OR($A10="",TYPE(VLOOKUP($A10,Centrum!$D$3:$M$130,10,0))&gt;3),"",VLOOKUP(VLOOKUP($A10,Centrum!$D$3:$M$130,10,0),Centrum!$A$3:$CB$130,AM$132,0))</f>
        <v>-12</v>
      </c>
      <c r="AT10" s="333">
        <f ca="1">IF(OR(OR($A10="",TYPE(VLOOKUP($A10,Centrum!$D$3:$M$130,10,0))&gt;3),$A$1&lt;4),"",VLOOKUP(VLOOKUP($A10,Centrum!$D$3:$M$130,10,0),Centrum!$A$3:$CB$130,AT$132,0))</f>
        <v>21</v>
      </c>
      <c r="AU10" s="333">
        <f ca="1">IF(OR(OR($A10="",TYPE(VLOOKUP($A10,Centrum!$D$3:$M$130,10,0))&gt;3),$A$1&lt;4),"",VLOOKUP(VLOOKUP($A10,Centrum!$D$3:$M$130,10,0),Centrum!$A$3:$CB$130,AU$132,0))</f>
        <v>1</v>
      </c>
      <c r="AV10" s="333">
        <f ca="1">IF(OR(OR($A10="",TYPE(VLOOKUP($A10,Centrum!$D$3:$M$130,10,0))&gt;3),$A$1&lt;4),"",VLOOKUP(VLOOKUP($A10,Centrum!$D$3:$M$130,10,0),Centrum!$A$3:$CB$130,AV$132,0))</f>
        <v>7</v>
      </c>
      <c r="BC10" s="333" t="str">
        <f>IF(OR(OR($A10="",TYPE(VLOOKUP($A10,Centrum!$D$3:$M$130,10,0))&gt;3),$A$1&lt;5),"",VLOOKUP(VLOOKUP($A10,Centrum!$D$3:$M$130,10,0),Centrum!$A$3:$CB$130,BC$132,0))</f>
        <v/>
      </c>
      <c r="BD10" s="333" t="str">
        <f>IF(OR(OR($A10="",TYPE(VLOOKUP($A10,Centrum!$D$3:$M$130,10,0))&gt;3),$A$1&lt;5),"",VLOOKUP(VLOOKUP($A10,Centrum!$D$3:$M$130,10,0),Centrum!$A$3:$CB$130,BD$132,0))</f>
        <v/>
      </c>
      <c r="BE10" s="333" t="str">
        <f>IF(OR(OR($A10="",TYPE(VLOOKUP($A10,Centrum!$D$3:$M$130,10,0))&gt;3),$A$1&lt;5),"",VLOOKUP(VLOOKUP($A10,Centrum!$D$3:$M$130,10,0),Centrum!$A$3:$CB$130,BE$132,0))</f>
        <v/>
      </c>
      <c r="BL10" s="333" t="str">
        <f>IF(OR(OR($A10="",TYPE(VLOOKUP($A10,Centrum!$D$3:$M$130,10,0))&gt;3),$A$1&lt;6),"",VLOOKUP(VLOOKUP($A10,Centrum!$D$3:$M$130,10,0),Centrum!$A$3:$CB$130,BL$132,0))</f>
        <v/>
      </c>
      <c r="BM10" s="333" t="str">
        <f>IF(OR(OR($A10="",TYPE(VLOOKUP($A10,Centrum!$D$3:$M$130,10,0))&gt;3),$A$1&lt;6),"",VLOOKUP(VLOOKUP($A10,Centrum!$D$3:$M$130,10,0),Centrum!$A$3:$CB$130,BM$132,0))</f>
        <v/>
      </c>
      <c r="BN10" s="333" t="str">
        <f>IF(OR(OR($A10="",TYPE(VLOOKUP($A10,Centrum!$D$3:$M$130,10,0))&gt;3),$A$1&lt;6),"",VLOOKUP(VLOOKUP($A10,Centrum!$D$3:$M$130,10,0),Centrum!$A$3:$CB$130,BN$132,0))</f>
        <v/>
      </c>
    </row>
    <row r="11" spans="1:69" x14ac:dyDescent="0.25">
      <c r="A11" s="333">
        <f>Centrum!A11</f>
        <v>9</v>
      </c>
      <c r="B11" s="439" t="str">
        <f>IF(OR($A11="",TYPE(VLOOKUP($A11,Centrum!$D$3:$M$130,10,0))&gt;3),"",VLOOKUP(VLOOKUP(A11,Centrum!$D$3:$M$130,10,0),Centrum!$A$3:$CB$130,B$132,0))</f>
        <v>7 PC Kolová - Kacerovský Ivo</v>
      </c>
      <c r="C11" s="333">
        <f>IF(OR($A11="",TYPE(VLOOKUP($A11,Centrum!$D$3:$M$130,10,0))&gt;3),"",VLOOKUP($A11,Centrum!$D$3:$M$130,10,0))</f>
        <v>7</v>
      </c>
      <c r="E11" s="333">
        <f ca="1">IF(OR($A11="",TYPE(VLOOKUP($A11,Centrum!$D$3:$M$130,10,0))&gt;3),"",VLOOKUP(VLOOKUP($A11,Centrum!$D$3:$M$130,10,0),Centrum!$A$3:$CB$130,E$132,0))</f>
        <v>3</v>
      </c>
      <c r="F11" s="333">
        <f ca="1">IF(OR($A11="",TYPE(VLOOKUP($A11,Centrum!$D$3:$M$130,10,0))&gt;3),"",VLOOKUP(VLOOKUP($A11,Centrum!$D$3:$M$130,10,0),Centrum!$A$3:$CB$130,F$132,0))</f>
        <v>9</v>
      </c>
      <c r="G11" s="333">
        <f ca="1">IF(OR($A11="",TYPE(VLOOKUP($A11,Centrum!$D$3:$M$130,10,0))&gt;3),"",VLOOKUP(VLOOKUP($A11,Centrum!$D$3:$M$130,10,0),Centrum!$A$3:$CB$130,G$132,0))</f>
        <v>31</v>
      </c>
      <c r="H11" s="333">
        <f ca="1">IF($A11="","",VLOOKUP(VLOOKUP($A11,Centrum!$D$3:$M$130,10,0),Centrum!$A$3:$CB$130,H$132,0))</f>
        <v>5</v>
      </c>
      <c r="I11" s="333">
        <f ca="1">IF($A11="","",VLOOKUP(VLOOKUP($A11,Centrum!$D$3:$M$130,10,0),Centrum!$A$3:$CB$130,I$132,0))</f>
        <v>0</v>
      </c>
      <c r="J11" s="333">
        <f ca="1">IF(OR($A11="",TYPE(VLOOKUP($A11,Centrum!$D$3:$M$130,10,0))&gt;3),"",VLOOKUP(VLOOKUP($A11,Centrum!$D$3:$M$130,10,0),Centrum!$A$3:$CB$130,J$132,0))</f>
        <v>10</v>
      </c>
      <c r="L11" s="333">
        <f ca="1">IF(OR($A11="",TYPE(VLOOKUP($A11,Centrum!$D$3:$M$130,10,0))&gt;3),"",VLOOKUP(VLOOKUP($A11,Centrum!$D$3:$M$130,10,0),Centrum!$A$3:$CB$130,L$132,0))</f>
        <v>32</v>
      </c>
      <c r="M11" s="333">
        <f ca="1">IF(OR($A11="",TYPE(VLOOKUP($A11,Centrum!$D$3:$M$130,10,0))&gt;3),"",VLOOKUP(VLOOKUP($A11,Centrum!$D$3:$M$130,10,0),Centrum!$A$3:$CB$130,M$132,0))</f>
        <v>11</v>
      </c>
      <c r="N11" s="333">
        <f ca="1">IF(OR($A11="",TYPE(VLOOKUP($A11,Centrum!$D$3:$M$130,10,0))&gt;3),"",VLOOKUP(VLOOKUP($A11,Centrum!$D$3:$M$130,10,0),Centrum!$A$3:$CB$130,N$132,0))</f>
        <v>5</v>
      </c>
      <c r="O11" s="333">
        <f ca="1">IF(OR($A11="",TYPE(VLOOKUP($A11,Centrum!$D$3:$M$130,10,0))&gt;3),"",VLOOKUP(VLOOKUP($A11,Centrum!$D$3:$M$130,10,0),Centrum!$A$3:$CB$130,O$132,0))</f>
        <v>25</v>
      </c>
      <c r="P11" s="333">
        <f ca="1">IF(OR($A11="",TYPE(VLOOKUP($A11,Centrum!$D$3:$M$130,10,0))&gt;3),"",VLOOKUP(VLOOKUP($A11,Centrum!$D$3:$M$130,10,0),Centrum!$A$3:$CB$130,P$132,0))</f>
        <v>0</v>
      </c>
      <c r="Q11" s="333">
        <f ca="1">IF(OR($A11="",TYPE(VLOOKUP($A11,Centrum!$D$3:$M$130,10,0))&gt;3),"",VLOOKUP(VLOOKUP($A11,Centrum!$D$3:$M$130,10,0),Centrum!$A$3:$CB$130,Q$132,0))</f>
        <v>0</v>
      </c>
      <c r="S11" s="333">
        <f ca="1">IF(OR($A11="",TYPE(VLOOKUP($A11,Centrum!$D$3:$M$130,10,0))&gt;3),"",VLOOKUP(VLOOKUP($A11,Centrum!$D$3:$M$130,10,0),Centrum!$A$3:$CB$130,S$132,0))</f>
        <v>32</v>
      </c>
      <c r="T11" s="333">
        <f ca="1">IF(OR($A11="",TYPE(VLOOKUP($A11,Centrum!$D$3:$M$130,10,0))&gt;3),"",VLOOKUP(VLOOKUP($A11,Centrum!$D$3:$M$130,10,0),Centrum!$A$3:$CB$130,T$132,0))</f>
        <v>1</v>
      </c>
      <c r="U11" s="333">
        <f ca="1">IF(OR($A11="",TYPE(VLOOKUP($A11,Centrum!$D$3:$M$130,10,0))&gt;3),"",VLOOKUP(VLOOKUP($A11,Centrum!$D$3:$M$130,10,0),Centrum!$A$3:$CB$130,U$132,0))</f>
        <v>10</v>
      </c>
      <c r="AB11" s="333">
        <f ca="1">IF(OR($A11="",TYPE(VLOOKUP($A11,Centrum!$D$3:$M$130,10,0))&gt;3),"",VLOOKUP(VLOOKUP($A11,Centrum!$D$3:$M$130,10,0),Centrum!$A$3:$CB$130,AB$132,0))</f>
        <v>11</v>
      </c>
      <c r="AC11" s="333">
        <f ca="1">IF(OR($A11="",TYPE(VLOOKUP($A11,Centrum!$D$3:$M$130,10,0))&gt;3),"",VLOOKUP(VLOOKUP($A11,Centrum!$D$3:$M$130,10,0),Centrum!$A$3:$CB$130,AC$132,0))</f>
        <v>0</v>
      </c>
      <c r="AD11" s="333">
        <f ca="1">IF(OR($A11="",TYPE(VLOOKUP($A11,Centrum!$D$3:$M$130,10,0))&gt;3),"",VLOOKUP(VLOOKUP($A11,Centrum!$D$3:$M$130,10,0),Centrum!$A$3:$CB$130,AD$132,0))</f>
        <v>-9</v>
      </c>
      <c r="AK11" s="333">
        <f ca="1">IF(OR($A11="",TYPE(VLOOKUP($A11,Centrum!$D$3:$M$130,10,0))&gt;3),"",VLOOKUP(VLOOKUP($A11,Centrum!$D$3:$M$130,10,0),Centrum!$A$3:$CB$130,AK$132,0))</f>
        <v>5</v>
      </c>
      <c r="AL11" s="333">
        <f ca="1">IF(OR($A11="",TYPE(VLOOKUP($A11,Centrum!$D$3:$M$130,10,0))&gt;3),"",VLOOKUP(VLOOKUP($A11,Centrum!$D$3:$M$130,10,0),Centrum!$A$3:$CB$130,AL$132,0))</f>
        <v>1</v>
      </c>
      <c r="AM11" s="333">
        <f ca="1">IF(OR($A11="",TYPE(VLOOKUP($A11,Centrum!$D$3:$M$130,10,0))&gt;3),"",VLOOKUP(VLOOKUP($A11,Centrum!$D$3:$M$130,10,0),Centrum!$A$3:$CB$130,AM$132,0))</f>
        <v>7</v>
      </c>
      <c r="AT11" s="333">
        <f ca="1">IF(OR(OR($A11="",TYPE(VLOOKUP($A11,Centrum!$D$3:$M$130,10,0))&gt;3),$A$1&lt;4),"",VLOOKUP(VLOOKUP($A11,Centrum!$D$3:$M$130,10,0),Centrum!$A$3:$CB$130,AT$132,0))</f>
        <v>25</v>
      </c>
      <c r="AU11" s="333">
        <f ca="1">IF(OR(OR($A11="",TYPE(VLOOKUP($A11,Centrum!$D$3:$M$130,10,0))&gt;3),$A$1&lt;4),"",VLOOKUP(VLOOKUP($A11,Centrum!$D$3:$M$130,10,0),Centrum!$A$3:$CB$130,AU$132,0))</f>
        <v>1</v>
      </c>
      <c r="AV11" s="333">
        <f ca="1">IF(OR(OR($A11="",TYPE(VLOOKUP($A11,Centrum!$D$3:$M$130,10,0))&gt;3),$A$1&lt;4),"",VLOOKUP(VLOOKUP($A11,Centrum!$D$3:$M$130,10,0),Centrum!$A$3:$CB$130,AV$132,0))</f>
        <v>2</v>
      </c>
      <c r="BC11" s="333" t="str">
        <f>IF(OR(OR($A11="",TYPE(VLOOKUP($A11,Centrum!$D$3:$M$130,10,0))&gt;3),$A$1&lt;5),"",VLOOKUP(VLOOKUP($A11,Centrum!$D$3:$M$130,10,0),Centrum!$A$3:$CB$130,BC$132,0))</f>
        <v/>
      </c>
      <c r="BD11" s="333" t="str">
        <f>IF(OR(OR($A11="",TYPE(VLOOKUP($A11,Centrum!$D$3:$M$130,10,0))&gt;3),$A$1&lt;5),"",VLOOKUP(VLOOKUP($A11,Centrum!$D$3:$M$130,10,0),Centrum!$A$3:$CB$130,BD$132,0))</f>
        <v/>
      </c>
      <c r="BE11" s="333" t="str">
        <f>IF(OR(OR($A11="",TYPE(VLOOKUP($A11,Centrum!$D$3:$M$130,10,0))&gt;3),$A$1&lt;5),"",VLOOKUP(VLOOKUP($A11,Centrum!$D$3:$M$130,10,0),Centrum!$A$3:$CB$130,BE$132,0))</f>
        <v/>
      </c>
      <c r="BL11" s="333" t="str">
        <f>IF(OR(OR($A11="",TYPE(VLOOKUP($A11,Centrum!$D$3:$M$130,10,0))&gt;3),$A$1&lt;6),"",VLOOKUP(VLOOKUP($A11,Centrum!$D$3:$M$130,10,0),Centrum!$A$3:$CB$130,BL$132,0))</f>
        <v/>
      </c>
      <c r="BM11" s="333" t="str">
        <f>IF(OR(OR($A11="",TYPE(VLOOKUP($A11,Centrum!$D$3:$M$130,10,0))&gt;3),$A$1&lt;6),"",VLOOKUP(VLOOKUP($A11,Centrum!$D$3:$M$130,10,0),Centrum!$A$3:$CB$130,BM$132,0))</f>
        <v/>
      </c>
      <c r="BN11" s="333" t="str">
        <f>IF(OR(OR($A11="",TYPE(VLOOKUP($A11,Centrum!$D$3:$M$130,10,0))&gt;3),$A$1&lt;6),"",VLOOKUP(VLOOKUP($A11,Centrum!$D$3:$M$130,10,0),Centrum!$A$3:$CB$130,BN$132,0))</f>
        <v/>
      </c>
    </row>
    <row r="12" spans="1:69" x14ac:dyDescent="0.25">
      <c r="A12" s="333">
        <f>Centrum!A12</f>
        <v>10</v>
      </c>
      <c r="B12" s="439" t="str">
        <f>IF(OR($A12="",TYPE(VLOOKUP($A12,Centrum!$D$3:$M$130,10,0))&gt;3),"",VLOOKUP(VLOOKUP(A12,Centrum!$D$3:$M$130,10,0),Centrum!$A$3:$CB$130,B$132,0))</f>
        <v>20 Club Rodamiento - Dlouhá Ivana</v>
      </c>
      <c r="C12" s="333">
        <f>IF(OR($A12="",TYPE(VLOOKUP($A12,Centrum!$D$3:$M$130,10,0))&gt;3),"",VLOOKUP($A12,Centrum!$D$3:$M$130,10,0))</f>
        <v>20</v>
      </c>
      <c r="E12" s="333">
        <f ca="1">IF(OR($A12="",TYPE(VLOOKUP($A12,Centrum!$D$3:$M$130,10,0))&gt;3),"",VLOOKUP(VLOOKUP($A12,Centrum!$D$3:$M$130,10,0),Centrum!$A$3:$CB$130,E$132,0))</f>
        <v>3</v>
      </c>
      <c r="F12" s="333">
        <f ca="1">IF(OR($A12="",TYPE(VLOOKUP($A12,Centrum!$D$3:$M$130,10,0))&gt;3),"",VLOOKUP(VLOOKUP($A12,Centrum!$D$3:$M$130,10,0),Centrum!$A$3:$CB$130,F$132,0))</f>
        <v>8</v>
      </c>
      <c r="G12" s="333">
        <f ca="1">IF(OR($A12="",TYPE(VLOOKUP($A12,Centrum!$D$3:$M$130,10,0))&gt;3),"",VLOOKUP(VLOOKUP($A12,Centrum!$D$3:$M$130,10,0),Centrum!$A$3:$CB$130,G$132,0))</f>
        <v>38</v>
      </c>
      <c r="H12" s="333">
        <f ca="1">IF($A12="","",VLOOKUP(VLOOKUP($A12,Centrum!$D$3:$M$130,10,0),Centrum!$A$3:$CB$130,H$132,0))</f>
        <v>5</v>
      </c>
      <c r="I12" s="333">
        <f ca="1">IF($A12="","",VLOOKUP(VLOOKUP($A12,Centrum!$D$3:$M$130,10,0),Centrum!$A$3:$CB$130,I$132,0))</f>
        <v>0</v>
      </c>
      <c r="J12" s="333">
        <f ca="1">IF(OR($A12="",TYPE(VLOOKUP($A12,Centrum!$D$3:$M$130,10,0))&gt;3),"",VLOOKUP(VLOOKUP($A12,Centrum!$D$3:$M$130,10,0),Centrum!$A$3:$CB$130,J$132,0))</f>
        <v>17</v>
      </c>
      <c r="L12" s="333">
        <f ca="1">IF(OR($A12="",TYPE(VLOOKUP($A12,Centrum!$D$3:$M$130,10,0))&gt;3),"",VLOOKUP(VLOOKUP($A12,Centrum!$D$3:$M$130,10,0),Centrum!$A$3:$CB$130,L$132,0))</f>
        <v>45</v>
      </c>
      <c r="M12" s="333">
        <f ca="1">IF(OR($A12="",TYPE(VLOOKUP($A12,Centrum!$D$3:$M$130,10,0))&gt;3),"",VLOOKUP(VLOOKUP($A12,Centrum!$D$3:$M$130,10,0),Centrum!$A$3:$CB$130,M$132,0))</f>
        <v>41</v>
      </c>
      <c r="N12" s="333">
        <f ca="1">IF(OR($A12="",TYPE(VLOOKUP($A12,Centrum!$D$3:$M$130,10,0))&gt;3),"",VLOOKUP(VLOOKUP($A12,Centrum!$D$3:$M$130,10,0),Centrum!$A$3:$CB$130,N$132,0))</f>
        <v>32</v>
      </c>
      <c r="O12" s="333">
        <f ca="1">IF(OR($A12="",TYPE(VLOOKUP($A12,Centrum!$D$3:$M$130,10,0))&gt;3),"",VLOOKUP(VLOOKUP($A12,Centrum!$D$3:$M$130,10,0),Centrum!$A$3:$CB$130,O$132,0))</f>
        <v>50</v>
      </c>
      <c r="P12" s="333">
        <f ca="1">IF(OR($A12="",TYPE(VLOOKUP($A12,Centrum!$D$3:$M$130,10,0))&gt;3),"",VLOOKUP(VLOOKUP($A12,Centrum!$D$3:$M$130,10,0),Centrum!$A$3:$CB$130,P$132,0))</f>
        <v>0</v>
      </c>
      <c r="Q12" s="333">
        <f ca="1">IF(OR($A12="",TYPE(VLOOKUP($A12,Centrum!$D$3:$M$130,10,0))&gt;3),"",VLOOKUP(VLOOKUP($A12,Centrum!$D$3:$M$130,10,0),Centrum!$A$3:$CB$130,Q$132,0))</f>
        <v>0</v>
      </c>
      <c r="S12" s="333">
        <f ca="1">IF(OR($A12="",TYPE(VLOOKUP($A12,Centrum!$D$3:$M$130,10,0))&gt;3),"",VLOOKUP(VLOOKUP($A12,Centrum!$D$3:$M$130,10,0),Centrum!$A$3:$CB$130,S$132,0))</f>
        <v>45</v>
      </c>
      <c r="T12" s="333">
        <f ca="1">IF(OR($A12="",TYPE(VLOOKUP($A12,Centrum!$D$3:$M$130,10,0))&gt;3),"",VLOOKUP(VLOOKUP($A12,Centrum!$D$3:$M$130,10,0),Centrum!$A$3:$CB$130,T$132,0))</f>
        <v>0</v>
      </c>
      <c r="U12" s="333">
        <f ca="1">IF(OR($A12="",TYPE(VLOOKUP($A12,Centrum!$D$3:$M$130,10,0))&gt;3),"",VLOOKUP(VLOOKUP($A12,Centrum!$D$3:$M$130,10,0),Centrum!$A$3:$CB$130,U$132,0))</f>
        <v>-1</v>
      </c>
      <c r="AB12" s="333">
        <f ca="1">IF(OR($A12="",TYPE(VLOOKUP($A12,Centrum!$D$3:$M$130,10,0))&gt;3),"",VLOOKUP(VLOOKUP($A12,Centrum!$D$3:$M$130,10,0),Centrum!$A$3:$CB$130,AB$132,0))</f>
        <v>41</v>
      </c>
      <c r="AC12" s="333">
        <f ca="1">IF(OR($A12="",TYPE(VLOOKUP($A12,Centrum!$D$3:$M$130,10,0))&gt;3),"",VLOOKUP(VLOOKUP($A12,Centrum!$D$3:$M$130,10,0),Centrum!$A$3:$CB$130,AC$132,0))</f>
        <v>1</v>
      </c>
      <c r="AD12" s="333">
        <f ca="1">IF(OR($A12="",TYPE(VLOOKUP($A12,Centrum!$D$3:$M$130,10,0))&gt;3),"",VLOOKUP(VLOOKUP($A12,Centrum!$D$3:$M$130,10,0),Centrum!$A$3:$CB$130,AD$132,0))</f>
        <v>2</v>
      </c>
      <c r="AK12" s="333">
        <f ca="1">IF(OR($A12="",TYPE(VLOOKUP($A12,Centrum!$D$3:$M$130,10,0))&gt;3),"",VLOOKUP(VLOOKUP($A12,Centrum!$D$3:$M$130,10,0),Centrum!$A$3:$CB$130,AK$132,0))</f>
        <v>32</v>
      </c>
      <c r="AL12" s="333">
        <f ca="1">IF(OR($A12="",TYPE(VLOOKUP($A12,Centrum!$D$3:$M$130,10,0))&gt;3),"",VLOOKUP(VLOOKUP($A12,Centrum!$D$3:$M$130,10,0),Centrum!$A$3:$CB$130,AL$132,0))</f>
        <v>1</v>
      </c>
      <c r="AM12" s="333">
        <f ca="1">IF(OR($A12="",TYPE(VLOOKUP($A12,Centrum!$D$3:$M$130,10,0))&gt;3),"",VLOOKUP(VLOOKUP($A12,Centrum!$D$3:$M$130,10,0),Centrum!$A$3:$CB$130,AM$132,0))</f>
        <v>9</v>
      </c>
      <c r="AT12" s="333">
        <f ca="1">IF(OR(OR($A12="",TYPE(VLOOKUP($A12,Centrum!$D$3:$M$130,10,0))&gt;3),$A$1&lt;4),"",VLOOKUP(VLOOKUP($A12,Centrum!$D$3:$M$130,10,0),Centrum!$A$3:$CB$130,AT$132,0))</f>
        <v>50</v>
      </c>
      <c r="AU12" s="333">
        <f ca="1">IF(OR(OR($A12="",TYPE(VLOOKUP($A12,Centrum!$D$3:$M$130,10,0))&gt;3),$A$1&lt;4),"",VLOOKUP(VLOOKUP($A12,Centrum!$D$3:$M$130,10,0),Centrum!$A$3:$CB$130,AU$132,0))</f>
        <v>1</v>
      </c>
      <c r="AV12" s="333">
        <f ca="1">IF(OR(OR($A12="",TYPE(VLOOKUP($A12,Centrum!$D$3:$M$130,10,0))&gt;3),$A$1&lt;4),"",VLOOKUP(VLOOKUP($A12,Centrum!$D$3:$M$130,10,0),Centrum!$A$3:$CB$130,AV$132,0))</f>
        <v>7</v>
      </c>
      <c r="BC12" s="333" t="str">
        <f>IF(OR(OR($A12="",TYPE(VLOOKUP($A12,Centrum!$D$3:$M$130,10,0))&gt;3),$A$1&lt;5),"",VLOOKUP(VLOOKUP($A12,Centrum!$D$3:$M$130,10,0),Centrum!$A$3:$CB$130,BC$132,0))</f>
        <v/>
      </c>
      <c r="BD12" s="333" t="str">
        <f>IF(OR(OR($A12="",TYPE(VLOOKUP($A12,Centrum!$D$3:$M$130,10,0))&gt;3),$A$1&lt;5),"",VLOOKUP(VLOOKUP($A12,Centrum!$D$3:$M$130,10,0),Centrum!$A$3:$CB$130,BD$132,0))</f>
        <v/>
      </c>
      <c r="BE12" s="333" t="str">
        <f>IF(OR(OR($A12="",TYPE(VLOOKUP($A12,Centrum!$D$3:$M$130,10,0))&gt;3),$A$1&lt;5),"",VLOOKUP(VLOOKUP($A12,Centrum!$D$3:$M$130,10,0),Centrum!$A$3:$CB$130,BE$132,0))</f>
        <v/>
      </c>
      <c r="BL12" s="333" t="str">
        <f>IF(OR(OR($A12="",TYPE(VLOOKUP($A12,Centrum!$D$3:$M$130,10,0))&gt;3),$A$1&lt;6),"",VLOOKUP(VLOOKUP($A12,Centrum!$D$3:$M$130,10,0),Centrum!$A$3:$CB$130,BL$132,0))</f>
        <v/>
      </c>
      <c r="BM12" s="333" t="str">
        <f>IF(OR(OR($A12="",TYPE(VLOOKUP($A12,Centrum!$D$3:$M$130,10,0))&gt;3),$A$1&lt;6),"",VLOOKUP(VLOOKUP($A12,Centrum!$D$3:$M$130,10,0),Centrum!$A$3:$CB$130,BM$132,0))</f>
        <v/>
      </c>
      <c r="BN12" s="333" t="str">
        <f>IF(OR(OR($A12="",TYPE(VLOOKUP($A12,Centrum!$D$3:$M$130,10,0))&gt;3),$A$1&lt;6),"",VLOOKUP(VLOOKUP($A12,Centrum!$D$3:$M$130,10,0),Centrum!$A$3:$CB$130,BN$132,0))</f>
        <v/>
      </c>
    </row>
    <row r="13" spans="1:69" x14ac:dyDescent="0.25">
      <c r="A13" s="333">
        <f>Centrum!A13</f>
        <v>11</v>
      </c>
      <c r="B13" s="439" t="str">
        <f>IF(OR($A13="",TYPE(VLOOKUP($A13,Centrum!$D$3:$M$130,10,0))&gt;3),"",VLOOKUP(VLOOKUP(A13,Centrum!$D$3:$M$130,10,0),Centrum!$A$3:$CB$130,B$132,0))</f>
        <v>1 PC Sokol Lipník - Morávek Petr</v>
      </c>
      <c r="C13" s="333">
        <f>IF(OR($A13="",TYPE(VLOOKUP($A13,Centrum!$D$3:$M$130,10,0))&gt;3),"",VLOOKUP($A13,Centrum!$D$3:$M$130,10,0))</f>
        <v>1</v>
      </c>
      <c r="E13" s="333">
        <f ca="1">IF(OR($A13="",TYPE(VLOOKUP($A13,Centrum!$D$3:$M$130,10,0))&gt;3),"",VLOOKUP(VLOOKUP($A13,Centrum!$D$3:$M$130,10,0),Centrum!$A$3:$CB$130,E$132,0))</f>
        <v>3</v>
      </c>
      <c r="F13" s="333">
        <f ca="1">IF(OR($A13="",TYPE(VLOOKUP($A13,Centrum!$D$3:$M$130,10,0))&gt;3),"",VLOOKUP(VLOOKUP($A13,Centrum!$D$3:$M$130,10,0),Centrum!$A$3:$CB$130,F$132,0))</f>
        <v>8</v>
      </c>
      <c r="G13" s="333">
        <f ca="1">IF(OR($A13="",TYPE(VLOOKUP($A13,Centrum!$D$3:$M$130,10,0))&gt;3),"",VLOOKUP(VLOOKUP($A13,Centrum!$D$3:$M$130,10,0),Centrum!$A$3:$CB$130,G$132,0))</f>
        <v>37</v>
      </c>
      <c r="H13" s="333">
        <f ca="1">IF($A13="","",VLOOKUP(VLOOKUP($A13,Centrum!$D$3:$M$130,10,0),Centrum!$A$3:$CB$130,H$132,0))</f>
        <v>5</v>
      </c>
      <c r="I13" s="333">
        <f ca="1">IF($A13="","",VLOOKUP(VLOOKUP($A13,Centrum!$D$3:$M$130,10,0),Centrum!$A$3:$CB$130,I$132,0))</f>
        <v>3</v>
      </c>
      <c r="J13" s="333">
        <f ca="1">IF(OR($A13="",TYPE(VLOOKUP($A13,Centrum!$D$3:$M$130,10,0))&gt;3),"",VLOOKUP(VLOOKUP($A13,Centrum!$D$3:$M$130,10,0),Centrum!$A$3:$CB$130,J$132,0))</f>
        <v>6</v>
      </c>
      <c r="L13" s="333">
        <f ca="1">IF(OR($A13="",TYPE(VLOOKUP($A13,Centrum!$D$3:$M$130,10,0))&gt;3),"",VLOOKUP(VLOOKUP($A13,Centrum!$D$3:$M$130,10,0),Centrum!$A$3:$CB$130,L$132,0))</f>
        <v>26</v>
      </c>
      <c r="M13" s="333">
        <f ca="1">IF(OR($A13="",TYPE(VLOOKUP($A13,Centrum!$D$3:$M$130,10,0))&gt;3),"",VLOOKUP(VLOOKUP($A13,Centrum!$D$3:$M$130,10,0),Centrum!$A$3:$CB$130,M$132,0))</f>
        <v>22</v>
      </c>
      <c r="N13" s="333">
        <f ca="1">IF(OR($A13="",TYPE(VLOOKUP($A13,Centrum!$D$3:$M$130,10,0))&gt;3),"",VLOOKUP(VLOOKUP($A13,Centrum!$D$3:$M$130,10,0),Centrum!$A$3:$CB$130,N$132,0))</f>
        <v>23</v>
      </c>
      <c r="O13" s="333">
        <f ca="1">IF(OR($A13="",TYPE(VLOOKUP($A13,Centrum!$D$3:$M$130,10,0))&gt;3),"",VLOOKUP(VLOOKUP($A13,Centrum!$D$3:$M$130,10,0),Centrum!$A$3:$CB$130,O$132,0))</f>
        <v>4</v>
      </c>
      <c r="P13" s="333">
        <f ca="1">IF(OR($A13="",TYPE(VLOOKUP($A13,Centrum!$D$3:$M$130,10,0))&gt;3),"",VLOOKUP(VLOOKUP($A13,Centrum!$D$3:$M$130,10,0),Centrum!$A$3:$CB$130,P$132,0))</f>
        <v>0</v>
      </c>
      <c r="Q13" s="333">
        <f ca="1">IF(OR($A13="",TYPE(VLOOKUP($A13,Centrum!$D$3:$M$130,10,0))&gt;3),"",VLOOKUP(VLOOKUP($A13,Centrum!$D$3:$M$130,10,0),Centrum!$A$3:$CB$130,Q$132,0))</f>
        <v>0</v>
      </c>
      <c r="S13" s="333">
        <f ca="1">IF(OR($A13="",TYPE(VLOOKUP($A13,Centrum!$D$3:$M$130,10,0))&gt;3),"",VLOOKUP(VLOOKUP($A13,Centrum!$D$3:$M$130,10,0),Centrum!$A$3:$CB$130,S$132,0))</f>
        <v>26</v>
      </c>
      <c r="T13" s="333">
        <f ca="1">IF(OR($A13="",TYPE(VLOOKUP($A13,Centrum!$D$3:$M$130,10,0))&gt;3),"",VLOOKUP(VLOOKUP($A13,Centrum!$D$3:$M$130,10,0),Centrum!$A$3:$CB$130,T$132,0))</f>
        <v>1</v>
      </c>
      <c r="U13" s="333">
        <f ca="1">IF(OR($A13="",TYPE(VLOOKUP($A13,Centrum!$D$3:$M$130,10,0))&gt;3),"",VLOOKUP(VLOOKUP($A13,Centrum!$D$3:$M$130,10,0),Centrum!$A$3:$CB$130,U$132,0))</f>
        <v>5</v>
      </c>
      <c r="AB13" s="333">
        <f ca="1">IF(OR($A13="",TYPE(VLOOKUP($A13,Centrum!$D$3:$M$130,10,0))&gt;3),"",VLOOKUP(VLOOKUP($A13,Centrum!$D$3:$M$130,10,0),Centrum!$A$3:$CB$130,AB$132,0))</f>
        <v>22</v>
      </c>
      <c r="AC13" s="333">
        <f ca="1">IF(OR($A13="",TYPE(VLOOKUP($A13,Centrum!$D$3:$M$130,10,0))&gt;3),"",VLOOKUP(VLOOKUP($A13,Centrum!$D$3:$M$130,10,0),Centrum!$A$3:$CB$130,AC$132,0))</f>
        <v>0</v>
      </c>
      <c r="AD13" s="333">
        <f ca="1">IF(OR($A13="",TYPE(VLOOKUP($A13,Centrum!$D$3:$M$130,10,0))&gt;3),"",VLOOKUP(VLOOKUP($A13,Centrum!$D$3:$M$130,10,0),Centrum!$A$3:$CB$130,AD$132,0))</f>
        <v>-10</v>
      </c>
      <c r="AK13" s="333">
        <f ca="1">IF(OR($A13="",TYPE(VLOOKUP($A13,Centrum!$D$3:$M$130,10,0))&gt;3),"",VLOOKUP(VLOOKUP($A13,Centrum!$D$3:$M$130,10,0),Centrum!$A$3:$CB$130,AK$132,0))</f>
        <v>23</v>
      </c>
      <c r="AL13" s="333">
        <f ca="1">IF(OR($A13="",TYPE(VLOOKUP($A13,Centrum!$D$3:$M$130,10,0))&gt;3),"",VLOOKUP(VLOOKUP($A13,Centrum!$D$3:$M$130,10,0),Centrum!$A$3:$CB$130,AL$132,0))</f>
        <v>1</v>
      </c>
      <c r="AM13" s="333">
        <f ca="1">IF(OR($A13="",TYPE(VLOOKUP($A13,Centrum!$D$3:$M$130,10,0))&gt;3),"",VLOOKUP(VLOOKUP($A13,Centrum!$D$3:$M$130,10,0),Centrum!$A$3:$CB$130,AM$132,0))</f>
        <v>8</v>
      </c>
      <c r="AT13" s="333">
        <f ca="1">IF(OR(OR($A13="",TYPE(VLOOKUP($A13,Centrum!$D$3:$M$130,10,0))&gt;3),$A$1&lt;4),"",VLOOKUP(VLOOKUP($A13,Centrum!$D$3:$M$130,10,0),Centrum!$A$3:$CB$130,AT$132,0))</f>
        <v>4</v>
      </c>
      <c r="AU13" s="333">
        <f ca="1">IF(OR(OR($A13="",TYPE(VLOOKUP($A13,Centrum!$D$3:$M$130,10,0))&gt;3),$A$1&lt;4),"",VLOOKUP(VLOOKUP($A13,Centrum!$D$3:$M$130,10,0),Centrum!$A$3:$CB$130,AU$132,0))</f>
        <v>1</v>
      </c>
      <c r="AV13" s="333">
        <f ca="1">IF(OR(OR($A13="",TYPE(VLOOKUP($A13,Centrum!$D$3:$M$130,10,0))&gt;3),$A$1&lt;4),"",VLOOKUP(VLOOKUP($A13,Centrum!$D$3:$M$130,10,0),Centrum!$A$3:$CB$130,AV$132,0))</f>
        <v>3</v>
      </c>
      <c r="BC13" s="333" t="str">
        <f>IF(OR(OR($A13="",TYPE(VLOOKUP($A13,Centrum!$D$3:$M$130,10,0))&gt;3),$A$1&lt;5),"",VLOOKUP(VLOOKUP($A13,Centrum!$D$3:$M$130,10,0),Centrum!$A$3:$CB$130,BC$132,0))</f>
        <v/>
      </c>
      <c r="BD13" s="333" t="str">
        <f>IF(OR(OR($A13="",TYPE(VLOOKUP($A13,Centrum!$D$3:$M$130,10,0))&gt;3),$A$1&lt;5),"",VLOOKUP(VLOOKUP($A13,Centrum!$D$3:$M$130,10,0),Centrum!$A$3:$CB$130,BD$132,0))</f>
        <v/>
      </c>
      <c r="BE13" s="333" t="str">
        <f>IF(OR(OR($A13="",TYPE(VLOOKUP($A13,Centrum!$D$3:$M$130,10,0))&gt;3),$A$1&lt;5),"",VLOOKUP(VLOOKUP($A13,Centrum!$D$3:$M$130,10,0),Centrum!$A$3:$CB$130,BE$132,0))</f>
        <v/>
      </c>
      <c r="BL13" s="333" t="str">
        <f>IF(OR(OR($A13="",TYPE(VLOOKUP($A13,Centrum!$D$3:$M$130,10,0))&gt;3),$A$1&lt;6),"",VLOOKUP(VLOOKUP($A13,Centrum!$D$3:$M$130,10,0),Centrum!$A$3:$CB$130,BL$132,0))</f>
        <v/>
      </c>
      <c r="BM13" s="333" t="str">
        <f>IF(OR(OR($A13="",TYPE(VLOOKUP($A13,Centrum!$D$3:$M$130,10,0))&gt;3),$A$1&lt;6),"",VLOOKUP(VLOOKUP($A13,Centrum!$D$3:$M$130,10,0),Centrum!$A$3:$CB$130,BM$132,0))</f>
        <v/>
      </c>
      <c r="BN13" s="333" t="str">
        <f>IF(OR(OR($A13="",TYPE(VLOOKUP($A13,Centrum!$D$3:$M$130,10,0))&gt;3),$A$1&lt;6),"",VLOOKUP(VLOOKUP($A13,Centrum!$D$3:$M$130,10,0),Centrum!$A$3:$CB$130,BN$132,0))</f>
        <v/>
      </c>
    </row>
    <row r="14" spans="1:69" x14ac:dyDescent="0.25">
      <c r="A14" s="333">
        <f>Centrum!A14</f>
        <v>12</v>
      </c>
      <c r="B14" s="439" t="str">
        <f>IF(OR($A14="",TYPE(VLOOKUP($A14,Centrum!$D$3:$M$130,10,0))&gt;3),"",VLOOKUP(VLOOKUP(A14,Centrum!$D$3:$M$130,10,0),Centrum!$A$3:$CB$130,B$132,0))</f>
        <v>3 Petank Club Praha - Klír Tomáš</v>
      </c>
      <c r="C14" s="333">
        <f>IF(OR($A14="",TYPE(VLOOKUP($A14,Centrum!$D$3:$M$130,10,0))&gt;3),"",VLOOKUP($A14,Centrum!$D$3:$M$130,10,0))</f>
        <v>3</v>
      </c>
      <c r="E14" s="333">
        <f ca="1">IF(OR($A14="",TYPE(VLOOKUP($A14,Centrum!$D$3:$M$130,10,0))&gt;3),"",VLOOKUP(VLOOKUP($A14,Centrum!$D$3:$M$130,10,0),Centrum!$A$3:$CB$130,E$132,0))</f>
        <v>3</v>
      </c>
      <c r="F14" s="333">
        <f ca="1">IF(OR($A14="",TYPE(VLOOKUP($A14,Centrum!$D$3:$M$130,10,0))&gt;3),"",VLOOKUP(VLOOKUP($A14,Centrum!$D$3:$M$130,10,0),Centrum!$A$3:$CB$130,F$132,0))</f>
        <v>8</v>
      </c>
      <c r="G14" s="333">
        <f ca="1">IF(OR($A14="",TYPE(VLOOKUP($A14,Centrum!$D$3:$M$130,10,0))&gt;3),"",VLOOKUP(VLOOKUP($A14,Centrum!$D$3:$M$130,10,0),Centrum!$A$3:$CB$130,G$132,0))</f>
        <v>36</v>
      </c>
      <c r="H14" s="333">
        <f ca="1">IF($A14="","",VLOOKUP(VLOOKUP($A14,Centrum!$D$3:$M$130,10,0),Centrum!$A$3:$CB$130,H$132,0))</f>
        <v>5</v>
      </c>
      <c r="I14" s="333">
        <f ca="1">IF($A14="","",VLOOKUP(VLOOKUP($A14,Centrum!$D$3:$M$130,10,0),Centrum!$A$3:$CB$130,I$132,0))</f>
        <v>0</v>
      </c>
      <c r="J14" s="333">
        <f ca="1">IF(OR($A14="",TYPE(VLOOKUP($A14,Centrum!$D$3:$M$130,10,0))&gt;3),"",VLOOKUP(VLOOKUP($A14,Centrum!$D$3:$M$130,10,0),Centrum!$A$3:$CB$130,J$132,0))</f>
        <v>21</v>
      </c>
      <c r="L14" s="333">
        <f ca="1">IF(OR($A14="",TYPE(VLOOKUP($A14,Centrum!$D$3:$M$130,10,0))&gt;3),"",VLOOKUP(VLOOKUP($A14,Centrum!$D$3:$M$130,10,0),Centrum!$A$3:$CB$130,L$132,0))</f>
        <v>28</v>
      </c>
      <c r="M14" s="333">
        <f ca="1">IF(OR($A14="",TYPE(VLOOKUP($A14,Centrum!$D$3:$M$130,10,0))&gt;3),"",VLOOKUP(VLOOKUP($A14,Centrum!$D$3:$M$130,10,0),Centrum!$A$3:$CB$130,M$132,0))</f>
        <v>13</v>
      </c>
      <c r="N14" s="333">
        <f ca="1">IF(OR($A14="",TYPE(VLOOKUP($A14,Centrum!$D$3:$M$130,10,0))&gt;3),"",VLOOKUP(VLOOKUP($A14,Centrum!$D$3:$M$130,10,0),Centrum!$A$3:$CB$130,N$132,0))</f>
        <v>4</v>
      </c>
      <c r="O14" s="333">
        <f ca="1">IF(OR($A14="",TYPE(VLOOKUP($A14,Centrum!$D$3:$M$130,10,0))&gt;3),"",VLOOKUP(VLOOKUP($A14,Centrum!$D$3:$M$130,10,0),Centrum!$A$3:$CB$130,O$132,0))</f>
        <v>35</v>
      </c>
      <c r="P14" s="333">
        <f ca="1">IF(OR($A14="",TYPE(VLOOKUP($A14,Centrum!$D$3:$M$130,10,0))&gt;3),"",VLOOKUP(VLOOKUP($A14,Centrum!$D$3:$M$130,10,0),Centrum!$A$3:$CB$130,P$132,0))</f>
        <v>0</v>
      </c>
      <c r="Q14" s="333">
        <f ca="1">IF(OR($A14="",TYPE(VLOOKUP($A14,Centrum!$D$3:$M$130,10,0))&gt;3),"",VLOOKUP(VLOOKUP($A14,Centrum!$D$3:$M$130,10,0),Centrum!$A$3:$CB$130,Q$132,0))</f>
        <v>0</v>
      </c>
      <c r="S14" s="333">
        <f ca="1">IF(OR($A14="",TYPE(VLOOKUP($A14,Centrum!$D$3:$M$130,10,0))&gt;3),"",VLOOKUP(VLOOKUP($A14,Centrum!$D$3:$M$130,10,0),Centrum!$A$3:$CB$130,S$132,0))</f>
        <v>28</v>
      </c>
      <c r="T14" s="333">
        <f ca="1">IF(OR($A14="",TYPE(VLOOKUP($A14,Centrum!$D$3:$M$130,10,0))&gt;3),"",VLOOKUP(VLOOKUP($A14,Centrum!$D$3:$M$130,10,0),Centrum!$A$3:$CB$130,T$132,0))</f>
        <v>1</v>
      </c>
      <c r="U14" s="333">
        <f ca="1">IF(OR($A14="",TYPE(VLOOKUP($A14,Centrum!$D$3:$M$130,10,0))&gt;3),"",VLOOKUP(VLOOKUP($A14,Centrum!$D$3:$M$130,10,0),Centrum!$A$3:$CB$130,U$132,0))</f>
        <v>11</v>
      </c>
      <c r="AB14" s="333">
        <f ca="1">IF(OR($A14="",TYPE(VLOOKUP($A14,Centrum!$D$3:$M$130,10,0))&gt;3),"",VLOOKUP(VLOOKUP($A14,Centrum!$D$3:$M$130,10,0),Centrum!$A$3:$CB$130,AB$132,0))</f>
        <v>13</v>
      </c>
      <c r="AC14" s="333">
        <f ca="1">IF(OR($A14="",TYPE(VLOOKUP($A14,Centrum!$D$3:$M$130,10,0))&gt;3),"",VLOOKUP(VLOOKUP($A14,Centrum!$D$3:$M$130,10,0),Centrum!$A$3:$CB$130,AC$132,0))</f>
        <v>1</v>
      </c>
      <c r="AD14" s="333">
        <f ca="1">IF(OR($A14="",TYPE(VLOOKUP($A14,Centrum!$D$3:$M$130,10,0))&gt;3),"",VLOOKUP(VLOOKUP($A14,Centrum!$D$3:$M$130,10,0),Centrum!$A$3:$CB$130,AD$132,0))</f>
        <v>11</v>
      </c>
      <c r="AK14" s="333">
        <f ca="1">IF(OR($A14="",TYPE(VLOOKUP($A14,Centrum!$D$3:$M$130,10,0))&gt;3),"",VLOOKUP(VLOOKUP($A14,Centrum!$D$3:$M$130,10,0),Centrum!$A$3:$CB$130,AK$132,0))</f>
        <v>4</v>
      </c>
      <c r="AL14" s="333">
        <f ca="1">IF(OR($A14="",TYPE(VLOOKUP($A14,Centrum!$D$3:$M$130,10,0))&gt;3),"",VLOOKUP(VLOOKUP($A14,Centrum!$D$3:$M$130,10,0),Centrum!$A$3:$CB$130,AL$132,0))</f>
        <v>1</v>
      </c>
      <c r="AM14" s="333">
        <f ca="1">IF(OR($A14="",TYPE(VLOOKUP($A14,Centrum!$D$3:$M$130,10,0))&gt;3),"",VLOOKUP(VLOOKUP($A14,Centrum!$D$3:$M$130,10,0),Centrum!$A$3:$CB$130,AM$132,0))</f>
        <v>3</v>
      </c>
      <c r="AT14" s="333">
        <f ca="1">IF(OR(OR($A14="",TYPE(VLOOKUP($A14,Centrum!$D$3:$M$130,10,0))&gt;3),$A$1&lt;4),"",VLOOKUP(VLOOKUP($A14,Centrum!$D$3:$M$130,10,0),Centrum!$A$3:$CB$130,AT$132,0))</f>
        <v>35</v>
      </c>
      <c r="AU14" s="333">
        <f ca="1">IF(OR(OR($A14="",TYPE(VLOOKUP($A14,Centrum!$D$3:$M$130,10,0))&gt;3),$A$1&lt;4),"",VLOOKUP(VLOOKUP($A14,Centrum!$D$3:$M$130,10,0),Centrum!$A$3:$CB$130,AU$132,0))</f>
        <v>0</v>
      </c>
      <c r="AV14" s="333">
        <f ca="1">IF(OR(OR($A14="",TYPE(VLOOKUP($A14,Centrum!$D$3:$M$130,10,0))&gt;3),$A$1&lt;4),"",VLOOKUP(VLOOKUP($A14,Centrum!$D$3:$M$130,10,0),Centrum!$A$3:$CB$130,AV$132,0))</f>
        <v>-4</v>
      </c>
      <c r="BC14" s="333" t="str">
        <f>IF(OR(OR($A14="",TYPE(VLOOKUP($A14,Centrum!$D$3:$M$130,10,0))&gt;3),$A$1&lt;5),"",VLOOKUP(VLOOKUP($A14,Centrum!$D$3:$M$130,10,0),Centrum!$A$3:$CB$130,BC$132,0))</f>
        <v/>
      </c>
      <c r="BD14" s="333" t="str">
        <f>IF(OR(OR($A14="",TYPE(VLOOKUP($A14,Centrum!$D$3:$M$130,10,0))&gt;3),$A$1&lt;5),"",VLOOKUP(VLOOKUP($A14,Centrum!$D$3:$M$130,10,0),Centrum!$A$3:$CB$130,BD$132,0))</f>
        <v/>
      </c>
      <c r="BE14" s="333" t="str">
        <f>IF(OR(OR($A14="",TYPE(VLOOKUP($A14,Centrum!$D$3:$M$130,10,0))&gt;3),$A$1&lt;5),"",VLOOKUP(VLOOKUP($A14,Centrum!$D$3:$M$130,10,0),Centrum!$A$3:$CB$130,BE$132,0))</f>
        <v/>
      </c>
      <c r="BL14" s="333" t="str">
        <f>IF(OR(OR($A14="",TYPE(VLOOKUP($A14,Centrum!$D$3:$M$130,10,0))&gt;3),$A$1&lt;6),"",VLOOKUP(VLOOKUP($A14,Centrum!$D$3:$M$130,10,0),Centrum!$A$3:$CB$130,BL$132,0))</f>
        <v/>
      </c>
      <c r="BM14" s="333" t="str">
        <f>IF(OR(OR($A14="",TYPE(VLOOKUP($A14,Centrum!$D$3:$M$130,10,0))&gt;3),$A$1&lt;6),"",VLOOKUP(VLOOKUP($A14,Centrum!$D$3:$M$130,10,0),Centrum!$A$3:$CB$130,BM$132,0))</f>
        <v/>
      </c>
      <c r="BN14" s="333" t="str">
        <f>IF(OR(OR($A14="",TYPE(VLOOKUP($A14,Centrum!$D$3:$M$130,10,0))&gt;3),$A$1&lt;6),"",VLOOKUP(VLOOKUP($A14,Centrum!$D$3:$M$130,10,0),Centrum!$A$3:$CB$130,BN$132,0))</f>
        <v/>
      </c>
    </row>
    <row r="15" spans="1:69" x14ac:dyDescent="0.25">
      <c r="A15" s="333">
        <f>Centrum!A15</f>
        <v>13</v>
      </c>
      <c r="B15" s="439" t="str">
        <f>IF(OR($A15="",TYPE(VLOOKUP($A15,Centrum!$D$3:$M$130,10,0))&gt;3),"",VLOOKUP(VLOOKUP(A15,Centrum!$D$3:$M$130,10,0),Centrum!$A$3:$CB$130,B$132,0))</f>
        <v>16 FRAPECO - Felčárek Jaroslav</v>
      </c>
      <c r="C15" s="333">
        <f>IF(OR($A15="",TYPE(VLOOKUP($A15,Centrum!$D$3:$M$130,10,0))&gt;3),"",VLOOKUP($A15,Centrum!$D$3:$M$130,10,0))</f>
        <v>16</v>
      </c>
      <c r="E15" s="333">
        <f ca="1">IF(OR($A15="",TYPE(VLOOKUP($A15,Centrum!$D$3:$M$130,10,0))&gt;3),"",VLOOKUP(VLOOKUP($A15,Centrum!$D$3:$M$130,10,0),Centrum!$A$3:$CB$130,E$132,0))</f>
        <v>3</v>
      </c>
      <c r="F15" s="333">
        <f ca="1">IF(OR($A15="",TYPE(VLOOKUP($A15,Centrum!$D$3:$M$130,10,0))&gt;3),"",VLOOKUP(VLOOKUP($A15,Centrum!$D$3:$M$130,10,0),Centrum!$A$3:$CB$130,F$132,0))</f>
        <v>8</v>
      </c>
      <c r="G15" s="333">
        <f ca="1">IF(OR($A15="",TYPE(VLOOKUP($A15,Centrum!$D$3:$M$130,10,0))&gt;3),"",VLOOKUP(VLOOKUP($A15,Centrum!$D$3:$M$130,10,0),Centrum!$A$3:$CB$130,G$132,0))</f>
        <v>36</v>
      </c>
      <c r="H15" s="333">
        <f ca="1">IF($A15="","",VLOOKUP(VLOOKUP($A15,Centrum!$D$3:$M$130,10,0),Centrum!$A$3:$CB$130,H$132,0))</f>
        <v>5</v>
      </c>
      <c r="I15" s="333">
        <f ca="1">IF($A15="","",VLOOKUP(VLOOKUP($A15,Centrum!$D$3:$M$130,10,0),Centrum!$A$3:$CB$130,I$132,0))</f>
        <v>0</v>
      </c>
      <c r="J15" s="333">
        <f ca="1">IF(OR($A15="",TYPE(VLOOKUP($A15,Centrum!$D$3:$M$130,10,0))&gt;3),"",VLOOKUP(VLOOKUP($A15,Centrum!$D$3:$M$130,10,0),Centrum!$A$3:$CB$130,J$132,0))</f>
        <v>19</v>
      </c>
      <c r="L15" s="333">
        <f ca="1">IF(OR($A15="",TYPE(VLOOKUP($A15,Centrum!$D$3:$M$130,10,0))&gt;3),"",VLOOKUP(VLOOKUP($A15,Centrum!$D$3:$M$130,10,0),Centrum!$A$3:$CB$130,L$132,0))</f>
        <v>41</v>
      </c>
      <c r="M15" s="333">
        <f ca="1">IF(OR($A15="",TYPE(VLOOKUP($A15,Centrum!$D$3:$M$130,10,0))&gt;3),"",VLOOKUP(VLOOKUP($A15,Centrum!$D$3:$M$130,10,0),Centrum!$A$3:$CB$130,M$132,0))</f>
        <v>40</v>
      </c>
      <c r="N15" s="333">
        <f ca="1">IF(OR($A15="",TYPE(VLOOKUP($A15,Centrum!$D$3:$M$130,10,0))&gt;3),"",VLOOKUP(VLOOKUP($A15,Centrum!$D$3:$M$130,10,0),Centrum!$A$3:$CB$130,N$132,0))</f>
        <v>19</v>
      </c>
      <c r="O15" s="333">
        <f ca="1">IF(OR($A15="",TYPE(VLOOKUP($A15,Centrum!$D$3:$M$130,10,0))&gt;3),"",VLOOKUP(VLOOKUP($A15,Centrum!$D$3:$M$130,10,0),Centrum!$A$3:$CB$130,O$132,0))</f>
        <v>14</v>
      </c>
      <c r="P15" s="333">
        <f ca="1">IF(OR($A15="",TYPE(VLOOKUP($A15,Centrum!$D$3:$M$130,10,0))&gt;3),"",VLOOKUP(VLOOKUP($A15,Centrum!$D$3:$M$130,10,0),Centrum!$A$3:$CB$130,P$132,0))</f>
        <v>0</v>
      </c>
      <c r="Q15" s="333">
        <f ca="1">IF(OR($A15="",TYPE(VLOOKUP($A15,Centrum!$D$3:$M$130,10,0))&gt;3),"",VLOOKUP(VLOOKUP($A15,Centrum!$D$3:$M$130,10,0),Centrum!$A$3:$CB$130,Q$132,0))</f>
        <v>0</v>
      </c>
      <c r="S15" s="333">
        <f ca="1">IF(OR($A15="",TYPE(VLOOKUP($A15,Centrum!$D$3:$M$130,10,0))&gt;3),"",VLOOKUP(VLOOKUP($A15,Centrum!$D$3:$M$130,10,0),Centrum!$A$3:$CB$130,S$132,0))</f>
        <v>41</v>
      </c>
      <c r="T15" s="333">
        <f ca="1">IF(OR($A15="",TYPE(VLOOKUP($A15,Centrum!$D$3:$M$130,10,0))&gt;3),"",VLOOKUP(VLOOKUP($A15,Centrum!$D$3:$M$130,10,0),Centrum!$A$3:$CB$130,T$132,0))</f>
        <v>1</v>
      </c>
      <c r="U15" s="333">
        <f ca="1">IF(OR($A15="",TYPE(VLOOKUP($A15,Centrum!$D$3:$M$130,10,0))&gt;3),"",VLOOKUP(VLOOKUP($A15,Centrum!$D$3:$M$130,10,0),Centrum!$A$3:$CB$130,U$132,0))</f>
        <v>11</v>
      </c>
      <c r="AB15" s="333">
        <f ca="1">IF(OR($A15="",TYPE(VLOOKUP($A15,Centrum!$D$3:$M$130,10,0))&gt;3),"",VLOOKUP(VLOOKUP($A15,Centrum!$D$3:$M$130,10,0),Centrum!$A$3:$CB$130,AB$132,0))</f>
        <v>40</v>
      </c>
      <c r="AC15" s="333">
        <f ca="1">IF(OR($A15="",TYPE(VLOOKUP($A15,Centrum!$D$3:$M$130,10,0))&gt;3),"",VLOOKUP(VLOOKUP($A15,Centrum!$D$3:$M$130,10,0),Centrum!$A$3:$CB$130,AC$132,0))</f>
        <v>1</v>
      </c>
      <c r="AD15" s="333">
        <f ca="1">IF(OR($A15="",TYPE(VLOOKUP($A15,Centrum!$D$3:$M$130,10,0))&gt;3),"",VLOOKUP(VLOOKUP($A15,Centrum!$D$3:$M$130,10,0),Centrum!$A$3:$CB$130,AD$132,0))</f>
        <v>5</v>
      </c>
      <c r="AK15" s="333">
        <f ca="1">IF(OR($A15="",TYPE(VLOOKUP($A15,Centrum!$D$3:$M$130,10,0))&gt;3),"",VLOOKUP(VLOOKUP($A15,Centrum!$D$3:$M$130,10,0),Centrum!$A$3:$CB$130,AK$132,0))</f>
        <v>19</v>
      </c>
      <c r="AL15" s="333">
        <f ca="1">IF(OR($A15="",TYPE(VLOOKUP($A15,Centrum!$D$3:$M$130,10,0))&gt;3),"",VLOOKUP(VLOOKUP($A15,Centrum!$D$3:$M$130,10,0),Centrum!$A$3:$CB$130,AL$132,0))</f>
        <v>0</v>
      </c>
      <c r="AM15" s="333">
        <f ca="1">IF(OR($A15="",TYPE(VLOOKUP($A15,Centrum!$D$3:$M$130,10,0))&gt;3),"",VLOOKUP(VLOOKUP($A15,Centrum!$D$3:$M$130,10,0),Centrum!$A$3:$CB$130,AM$132,0))</f>
        <v>-4</v>
      </c>
      <c r="AT15" s="333">
        <f ca="1">IF(OR(OR($A15="",TYPE(VLOOKUP($A15,Centrum!$D$3:$M$130,10,0))&gt;3),$A$1&lt;4),"",VLOOKUP(VLOOKUP($A15,Centrum!$D$3:$M$130,10,0),Centrum!$A$3:$CB$130,AT$132,0))</f>
        <v>14</v>
      </c>
      <c r="AU15" s="333">
        <f ca="1">IF(OR(OR($A15="",TYPE(VLOOKUP($A15,Centrum!$D$3:$M$130,10,0))&gt;3),$A$1&lt;4),"",VLOOKUP(VLOOKUP($A15,Centrum!$D$3:$M$130,10,0),Centrum!$A$3:$CB$130,AU$132,0))</f>
        <v>1</v>
      </c>
      <c r="AV15" s="333">
        <f ca="1">IF(OR(OR($A15="",TYPE(VLOOKUP($A15,Centrum!$D$3:$M$130,10,0))&gt;3),$A$1&lt;4),"",VLOOKUP(VLOOKUP($A15,Centrum!$D$3:$M$130,10,0),Centrum!$A$3:$CB$130,AV$132,0))</f>
        <v>7</v>
      </c>
      <c r="BC15" s="333" t="str">
        <f>IF(OR(OR($A15="",TYPE(VLOOKUP($A15,Centrum!$D$3:$M$130,10,0))&gt;3),$A$1&lt;5),"",VLOOKUP(VLOOKUP($A15,Centrum!$D$3:$M$130,10,0),Centrum!$A$3:$CB$130,BC$132,0))</f>
        <v/>
      </c>
      <c r="BD15" s="333" t="str">
        <f>IF(OR(OR($A15="",TYPE(VLOOKUP($A15,Centrum!$D$3:$M$130,10,0))&gt;3),$A$1&lt;5),"",VLOOKUP(VLOOKUP($A15,Centrum!$D$3:$M$130,10,0),Centrum!$A$3:$CB$130,BD$132,0))</f>
        <v/>
      </c>
      <c r="BE15" s="333" t="str">
        <f>IF(OR(OR($A15="",TYPE(VLOOKUP($A15,Centrum!$D$3:$M$130,10,0))&gt;3),$A$1&lt;5),"",VLOOKUP(VLOOKUP($A15,Centrum!$D$3:$M$130,10,0),Centrum!$A$3:$CB$130,BE$132,0))</f>
        <v/>
      </c>
      <c r="BL15" s="333" t="str">
        <f>IF(OR(OR($A15="",TYPE(VLOOKUP($A15,Centrum!$D$3:$M$130,10,0))&gt;3),$A$1&lt;6),"",VLOOKUP(VLOOKUP($A15,Centrum!$D$3:$M$130,10,0),Centrum!$A$3:$CB$130,BL$132,0))</f>
        <v/>
      </c>
      <c r="BM15" s="333" t="str">
        <f>IF(OR(OR($A15="",TYPE(VLOOKUP($A15,Centrum!$D$3:$M$130,10,0))&gt;3),$A$1&lt;6),"",VLOOKUP(VLOOKUP($A15,Centrum!$D$3:$M$130,10,0),Centrum!$A$3:$CB$130,BM$132,0))</f>
        <v/>
      </c>
      <c r="BN15" s="333" t="str">
        <f>IF(OR(OR($A15="",TYPE(VLOOKUP($A15,Centrum!$D$3:$M$130,10,0))&gt;3),$A$1&lt;6),"",VLOOKUP(VLOOKUP($A15,Centrum!$D$3:$M$130,10,0),Centrum!$A$3:$CB$130,BN$132,0))</f>
        <v/>
      </c>
    </row>
    <row r="16" spans="1:69" x14ac:dyDescent="0.25">
      <c r="A16" s="333">
        <f>Centrum!A16</f>
        <v>14</v>
      </c>
      <c r="B16" s="439" t="str">
        <f>IF(OR($A16="",TYPE(VLOOKUP($A16,Centrum!$D$3:$M$130,10,0))&gt;3),"",VLOOKUP(VLOOKUP(A16,Centrum!$D$3:$M$130,10,0),Centrum!$A$3:$CB$130,B$132,0))</f>
        <v>10 PC Kolová - Plucar Petr</v>
      </c>
      <c r="C16" s="333">
        <f>IF(OR($A16="",TYPE(VLOOKUP($A16,Centrum!$D$3:$M$130,10,0))&gt;3),"",VLOOKUP($A16,Centrum!$D$3:$M$130,10,0))</f>
        <v>10</v>
      </c>
      <c r="E16" s="333">
        <f ca="1">IF(OR($A16="",TYPE(VLOOKUP($A16,Centrum!$D$3:$M$130,10,0))&gt;3),"",VLOOKUP(VLOOKUP($A16,Centrum!$D$3:$M$130,10,0),Centrum!$A$3:$CB$130,E$132,0))</f>
        <v>3</v>
      </c>
      <c r="F16" s="333">
        <f ca="1">IF(OR($A16="",TYPE(VLOOKUP($A16,Centrum!$D$3:$M$130,10,0))&gt;3),"",VLOOKUP(VLOOKUP($A16,Centrum!$D$3:$M$130,10,0),Centrum!$A$3:$CB$130,F$132,0))</f>
        <v>8</v>
      </c>
      <c r="G16" s="333">
        <f ca="1">IF(OR($A16="",TYPE(VLOOKUP($A16,Centrum!$D$3:$M$130,10,0))&gt;3),"",VLOOKUP(VLOOKUP($A16,Centrum!$D$3:$M$130,10,0),Centrum!$A$3:$CB$130,G$132,0))</f>
        <v>35</v>
      </c>
      <c r="H16" s="333">
        <f ca="1">IF($A16="","",VLOOKUP(VLOOKUP($A16,Centrum!$D$3:$M$130,10,0),Centrum!$A$3:$CB$130,H$132,0))</f>
        <v>6</v>
      </c>
      <c r="I16" s="333">
        <f ca="1">IF($A16="","",VLOOKUP(VLOOKUP($A16,Centrum!$D$3:$M$130,10,0),Centrum!$A$3:$CB$130,I$132,0))</f>
        <v>0</v>
      </c>
      <c r="J16" s="333">
        <f ca="1">IF(OR($A16="",TYPE(VLOOKUP($A16,Centrum!$D$3:$M$130,10,0))&gt;3),"",VLOOKUP(VLOOKUP($A16,Centrum!$D$3:$M$130,10,0),Centrum!$A$3:$CB$130,J$132,0))</f>
        <v>26</v>
      </c>
      <c r="L16" s="333">
        <f ca="1">IF(OR($A16="",TYPE(VLOOKUP($A16,Centrum!$D$3:$M$130,10,0))&gt;3),"",VLOOKUP(VLOOKUP($A16,Centrum!$D$3:$M$130,10,0),Centrum!$A$3:$CB$130,L$132,0))</f>
        <v>35</v>
      </c>
      <c r="M16" s="333">
        <f ca="1">IF(OR($A16="",TYPE(VLOOKUP($A16,Centrum!$D$3:$M$130,10,0))&gt;3),"",VLOOKUP(VLOOKUP($A16,Centrum!$D$3:$M$130,10,0),Centrum!$A$3:$CB$130,M$132,0))</f>
        <v>4</v>
      </c>
      <c r="N16" s="333">
        <f ca="1">IF(OR($A16="",TYPE(VLOOKUP($A16,Centrum!$D$3:$M$130,10,0))&gt;3),"",VLOOKUP(VLOOKUP($A16,Centrum!$D$3:$M$130,10,0),Centrum!$A$3:$CB$130,N$132,0))</f>
        <v>39</v>
      </c>
      <c r="O16" s="333">
        <f ca="1">IF(OR($A16="",TYPE(VLOOKUP($A16,Centrum!$D$3:$M$130,10,0))&gt;3),"",VLOOKUP(VLOOKUP($A16,Centrum!$D$3:$M$130,10,0),Centrum!$A$3:$CB$130,O$132,0))</f>
        <v>49</v>
      </c>
      <c r="P16" s="333">
        <f ca="1">IF(OR($A16="",TYPE(VLOOKUP($A16,Centrum!$D$3:$M$130,10,0))&gt;3),"",VLOOKUP(VLOOKUP($A16,Centrum!$D$3:$M$130,10,0),Centrum!$A$3:$CB$130,P$132,0))</f>
        <v>0</v>
      </c>
      <c r="Q16" s="333">
        <f ca="1">IF(OR($A16="",TYPE(VLOOKUP($A16,Centrum!$D$3:$M$130,10,0))&gt;3),"",VLOOKUP(VLOOKUP($A16,Centrum!$D$3:$M$130,10,0),Centrum!$A$3:$CB$130,Q$132,0))</f>
        <v>0</v>
      </c>
      <c r="S16" s="333">
        <f ca="1">IF(OR($A16="",TYPE(VLOOKUP($A16,Centrum!$D$3:$M$130,10,0))&gt;3),"",VLOOKUP(VLOOKUP($A16,Centrum!$D$3:$M$130,10,0),Centrum!$A$3:$CB$130,S$132,0))</f>
        <v>35</v>
      </c>
      <c r="T16" s="333">
        <f ca="1">IF(OR($A16="",TYPE(VLOOKUP($A16,Centrum!$D$3:$M$130,10,0))&gt;3),"",VLOOKUP(VLOOKUP($A16,Centrum!$D$3:$M$130,10,0),Centrum!$A$3:$CB$130,T$132,0))</f>
        <v>1</v>
      </c>
      <c r="U16" s="333">
        <f ca="1">IF(OR($A16="",TYPE(VLOOKUP($A16,Centrum!$D$3:$M$130,10,0))&gt;3),"",VLOOKUP(VLOOKUP($A16,Centrum!$D$3:$M$130,10,0),Centrum!$A$3:$CB$130,U$132,0))</f>
        <v>10</v>
      </c>
      <c r="AB16" s="333">
        <f ca="1">IF(OR($A16="",TYPE(VLOOKUP($A16,Centrum!$D$3:$M$130,10,0))&gt;3),"",VLOOKUP(VLOOKUP($A16,Centrum!$D$3:$M$130,10,0),Centrum!$A$3:$CB$130,AB$132,0))</f>
        <v>4</v>
      </c>
      <c r="AC16" s="333">
        <f ca="1">IF(OR($A16="",TYPE(VLOOKUP($A16,Centrum!$D$3:$M$130,10,0))&gt;3),"",VLOOKUP(VLOOKUP($A16,Centrum!$D$3:$M$130,10,0),Centrum!$A$3:$CB$130,AC$132,0))</f>
        <v>0</v>
      </c>
      <c r="AD16" s="333">
        <f ca="1">IF(OR($A16="",TYPE(VLOOKUP($A16,Centrum!$D$3:$M$130,10,0))&gt;3),"",VLOOKUP(VLOOKUP($A16,Centrum!$D$3:$M$130,10,0),Centrum!$A$3:$CB$130,AD$132,0))</f>
        <v>-2</v>
      </c>
      <c r="AK16" s="333">
        <f ca="1">IF(OR($A16="",TYPE(VLOOKUP($A16,Centrum!$D$3:$M$130,10,0))&gt;3),"",VLOOKUP(VLOOKUP($A16,Centrum!$D$3:$M$130,10,0),Centrum!$A$3:$CB$130,AK$132,0))</f>
        <v>39</v>
      </c>
      <c r="AL16" s="333">
        <f ca="1">IF(OR($A16="",TYPE(VLOOKUP($A16,Centrum!$D$3:$M$130,10,0))&gt;3),"",VLOOKUP(VLOOKUP($A16,Centrum!$D$3:$M$130,10,0),Centrum!$A$3:$CB$130,AL$132,0))</f>
        <v>1</v>
      </c>
      <c r="AM16" s="333">
        <f ca="1">IF(OR($A16="",TYPE(VLOOKUP($A16,Centrum!$D$3:$M$130,10,0))&gt;3),"",VLOOKUP(VLOOKUP($A16,Centrum!$D$3:$M$130,10,0),Centrum!$A$3:$CB$130,AM$132,0))</f>
        <v>7</v>
      </c>
      <c r="AT16" s="333">
        <f ca="1">IF(OR(OR($A16="",TYPE(VLOOKUP($A16,Centrum!$D$3:$M$130,10,0))&gt;3),$A$1&lt;4),"",VLOOKUP(VLOOKUP($A16,Centrum!$D$3:$M$130,10,0),Centrum!$A$3:$CB$130,AT$132,0))</f>
        <v>49</v>
      </c>
      <c r="AU16" s="333">
        <f ca="1">IF(OR(OR($A16="",TYPE(VLOOKUP($A16,Centrum!$D$3:$M$130,10,0))&gt;3),$A$1&lt;4),"",VLOOKUP(VLOOKUP($A16,Centrum!$D$3:$M$130,10,0),Centrum!$A$3:$CB$130,AU$132,0))</f>
        <v>1</v>
      </c>
      <c r="AV16" s="333">
        <f ca="1">IF(OR(OR($A16="",TYPE(VLOOKUP($A16,Centrum!$D$3:$M$130,10,0))&gt;3),$A$1&lt;4),"",VLOOKUP(VLOOKUP($A16,Centrum!$D$3:$M$130,10,0),Centrum!$A$3:$CB$130,AV$132,0))</f>
        <v>11</v>
      </c>
      <c r="BC16" s="333" t="str">
        <f>IF(OR(OR($A16="",TYPE(VLOOKUP($A16,Centrum!$D$3:$M$130,10,0))&gt;3),$A$1&lt;5),"",VLOOKUP(VLOOKUP($A16,Centrum!$D$3:$M$130,10,0),Centrum!$A$3:$CB$130,BC$132,0))</f>
        <v/>
      </c>
      <c r="BD16" s="333" t="str">
        <f>IF(OR(OR($A16="",TYPE(VLOOKUP($A16,Centrum!$D$3:$M$130,10,0))&gt;3),$A$1&lt;5),"",VLOOKUP(VLOOKUP($A16,Centrum!$D$3:$M$130,10,0),Centrum!$A$3:$CB$130,BD$132,0))</f>
        <v/>
      </c>
      <c r="BE16" s="333" t="str">
        <f>IF(OR(OR($A16="",TYPE(VLOOKUP($A16,Centrum!$D$3:$M$130,10,0))&gt;3),$A$1&lt;5),"",VLOOKUP(VLOOKUP($A16,Centrum!$D$3:$M$130,10,0),Centrum!$A$3:$CB$130,BE$132,0))</f>
        <v/>
      </c>
      <c r="BL16" s="333" t="str">
        <f>IF(OR(OR($A16="",TYPE(VLOOKUP($A16,Centrum!$D$3:$M$130,10,0))&gt;3),$A$1&lt;6),"",VLOOKUP(VLOOKUP($A16,Centrum!$D$3:$M$130,10,0),Centrum!$A$3:$CB$130,BL$132,0))</f>
        <v/>
      </c>
      <c r="BM16" s="333" t="str">
        <f>IF(OR(OR($A16="",TYPE(VLOOKUP($A16,Centrum!$D$3:$M$130,10,0))&gt;3),$A$1&lt;6),"",VLOOKUP(VLOOKUP($A16,Centrum!$D$3:$M$130,10,0),Centrum!$A$3:$CB$130,BM$132,0))</f>
        <v/>
      </c>
      <c r="BN16" s="333" t="str">
        <f>IF(OR(OR($A16="",TYPE(VLOOKUP($A16,Centrum!$D$3:$M$130,10,0))&gt;3),$A$1&lt;6),"",VLOOKUP(VLOOKUP($A16,Centrum!$D$3:$M$130,10,0),Centrum!$A$3:$CB$130,BN$132,0))</f>
        <v/>
      </c>
    </row>
    <row r="17" spans="1:66" x14ac:dyDescent="0.25">
      <c r="A17" s="333">
        <f>Centrum!A17</f>
        <v>15</v>
      </c>
      <c r="B17" s="439" t="str">
        <f>IF(OR($A17="",TYPE(VLOOKUP($A17,Centrum!$D$3:$M$130,10,0))&gt;3),"",VLOOKUP(VLOOKUP(A17,Centrum!$D$3:$M$130,10,0),Centrum!$A$3:$CB$130,B$132,0))</f>
        <v>12 CdP Loděnice - Marhoul Jan</v>
      </c>
      <c r="C17" s="333">
        <f>IF(OR($A17="",TYPE(VLOOKUP($A17,Centrum!$D$3:$M$130,10,0))&gt;3),"",VLOOKUP($A17,Centrum!$D$3:$M$130,10,0))</f>
        <v>12</v>
      </c>
      <c r="E17" s="333">
        <f ca="1">IF(OR($A17="",TYPE(VLOOKUP($A17,Centrum!$D$3:$M$130,10,0))&gt;3),"",VLOOKUP(VLOOKUP($A17,Centrum!$D$3:$M$130,10,0),Centrum!$A$3:$CB$130,E$132,0))</f>
        <v>3</v>
      </c>
      <c r="F17" s="333">
        <f ca="1">IF(OR($A17="",TYPE(VLOOKUP($A17,Centrum!$D$3:$M$130,10,0))&gt;3),"",VLOOKUP(VLOOKUP($A17,Centrum!$D$3:$M$130,10,0),Centrum!$A$3:$CB$130,F$132,0))</f>
        <v>8</v>
      </c>
      <c r="G17" s="333">
        <f ca="1">IF(OR($A17="",TYPE(VLOOKUP($A17,Centrum!$D$3:$M$130,10,0))&gt;3),"",VLOOKUP(VLOOKUP($A17,Centrum!$D$3:$M$130,10,0),Centrum!$A$3:$CB$130,G$132,0))</f>
        <v>31</v>
      </c>
      <c r="H17" s="333">
        <f ca="1">IF($A17="","",VLOOKUP(VLOOKUP($A17,Centrum!$D$3:$M$130,10,0),Centrum!$A$3:$CB$130,H$132,0))</f>
        <v>4</v>
      </c>
      <c r="I17" s="333">
        <f ca="1">IF($A17="","",VLOOKUP(VLOOKUP($A17,Centrum!$D$3:$M$130,10,0),Centrum!$A$3:$CB$130,I$132,0))</f>
        <v>0</v>
      </c>
      <c r="J17" s="333">
        <f ca="1">IF(OR($A17="",TYPE(VLOOKUP($A17,Centrum!$D$3:$M$130,10,0))&gt;3),"",VLOOKUP(VLOOKUP($A17,Centrum!$D$3:$M$130,10,0),Centrum!$A$3:$CB$130,J$132,0))</f>
        <v>16</v>
      </c>
      <c r="L17" s="333">
        <f ca="1">IF(OR($A17="",TYPE(VLOOKUP($A17,Centrum!$D$3:$M$130,10,0))&gt;3),"",VLOOKUP(VLOOKUP($A17,Centrum!$D$3:$M$130,10,0),Centrum!$A$3:$CB$130,L$132,0))</f>
        <v>37</v>
      </c>
      <c r="M17" s="333">
        <f ca="1">IF(OR($A17="",TYPE(VLOOKUP($A17,Centrum!$D$3:$M$130,10,0))&gt;3),"",VLOOKUP(VLOOKUP($A17,Centrum!$D$3:$M$130,10,0),Centrum!$A$3:$CB$130,M$132,0))</f>
        <v>51</v>
      </c>
      <c r="N17" s="333">
        <f ca="1">IF(OR($A17="",TYPE(VLOOKUP($A17,Centrum!$D$3:$M$130,10,0))&gt;3),"",VLOOKUP(VLOOKUP($A17,Centrum!$D$3:$M$130,10,0),Centrum!$A$3:$CB$130,N$132,0))</f>
        <v>28</v>
      </c>
      <c r="O17" s="333">
        <f ca="1">IF(OR($A17="",TYPE(VLOOKUP($A17,Centrum!$D$3:$M$130,10,0))&gt;3),"",VLOOKUP(VLOOKUP($A17,Centrum!$D$3:$M$130,10,0),Centrum!$A$3:$CB$130,O$132,0))</f>
        <v>6</v>
      </c>
      <c r="P17" s="333">
        <f ca="1">IF(OR($A17="",TYPE(VLOOKUP($A17,Centrum!$D$3:$M$130,10,0))&gt;3),"",VLOOKUP(VLOOKUP($A17,Centrum!$D$3:$M$130,10,0),Centrum!$A$3:$CB$130,P$132,0))</f>
        <v>0</v>
      </c>
      <c r="Q17" s="333">
        <f ca="1">IF(OR($A17="",TYPE(VLOOKUP($A17,Centrum!$D$3:$M$130,10,0))&gt;3),"",VLOOKUP(VLOOKUP($A17,Centrum!$D$3:$M$130,10,0),Centrum!$A$3:$CB$130,Q$132,0))</f>
        <v>0</v>
      </c>
      <c r="S17" s="333">
        <f ca="1">IF(OR($A17="",TYPE(VLOOKUP($A17,Centrum!$D$3:$M$130,10,0))&gt;3),"",VLOOKUP(VLOOKUP($A17,Centrum!$D$3:$M$130,10,0),Centrum!$A$3:$CB$130,S$132,0))</f>
        <v>37</v>
      </c>
      <c r="T17" s="333">
        <f ca="1">IF(OR($A17="",TYPE(VLOOKUP($A17,Centrum!$D$3:$M$130,10,0))&gt;3),"",VLOOKUP(VLOOKUP($A17,Centrum!$D$3:$M$130,10,0),Centrum!$A$3:$CB$130,T$132,0))</f>
        <v>1</v>
      </c>
      <c r="U17" s="333">
        <f ca="1">IF(OR($A17="",TYPE(VLOOKUP($A17,Centrum!$D$3:$M$130,10,0))&gt;3),"",VLOOKUP(VLOOKUP($A17,Centrum!$D$3:$M$130,10,0),Centrum!$A$3:$CB$130,U$132,0))</f>
        <v>6</v>
      </c>
      <c r="AB17" s="333">
        <f ca="1">IF(OR($A17="",TYPE(VLOOKUP($A17,Centrum!$D$3:$M$130,10,0))&gt;3),"",VLOOKUP(VLOOKUP($A17,Centrum!$D$3:$M$130,10,0),Centrum!$A$3:$CB$130,AB$132,0))</f>
        <v>51</v>
      </c>
      <c r="AC17" s="333">
        <f ca="1">IF(OR($A17="",TYPE(VLOOKUP($A17,Centrum!$D$3:$M$130,10,0))&gt;3),"",VLOOKUP(VLOOKUP($A17,Centrum!$D$3:$M$130,10,0),Centrum!$A$3:$CB$130,AC$132,0))</f>
        <v>1</v>
      </c>
      <c r="AD17" s="333">
        <f ca="1">IF(OR($A17="",TYPE(VLOOKUP($A17,Centrum!$D$3:$M$130,10,0))&gt;3),"",VLOOKUP(VLOOKUP($A17,Centrum!$D$3:$M$130,10,0),Centrum!$A$3:$CB$130,AD$132,0))</f>
        <v>8</v>
      </c>
      <c r="AK17" s="333">
        <f ca="1">IF(OR($A17="",TYPE(VLOOKUP($A17,Centrum!$D$3:$M$130,10,0))&gt;3),"",VLOOKUP(VLOOKUP($A17,Centrum!$D$3:$M$130,10,0),Centrum!$A$3:$CB$130,AK$132,0))</f>
        <v>28</v>
      </c>
      <c r="AL17" s="333">
        <f ca="1">IF(OR($A17="",TYPE(VLOOKUP($A17,Centrum!$D$3:$M$130,10,0))&gt;3),"",VLOOKUP(VLOOKUP($A17,Centrum!$D$3:$M$130,10,0),Centrum!$A$3:$CB$130,AL$132,0))</f>
        <v>1</v>
      </c>
      <c r="AM17" s="333">
        <f ca="1">IF(OR($A17="",TYPE(VLOOKUP($A17,Centrum!$D$3:$M$130,10,0))&gt;3),"",VLOOKUP(VLOOKUP($A17,Centrum!$D$3:$M$130,10,0),Centrum!$A$3:$CB$130,AM$132,0))</f>
        <v>10</v>
      </c>
      <c r="AT17" s="333">
        <f ca="1">IF(OR(OR($A17="",TYPE(VLOOKUP($A17,Centrum!$D$3:$M$130,10,0))&gt;3),$A$1&lt;4),"",VLOOKUP(VLOOKUP($A17,Centrum!$D$3:$M$130,10,0),Centrum!$A$3:$CB$130,AT$132,0))</f>
        <v>6</v>
      </c>
      <c r="AU17" s="333">
        <f ca="1">IF(OR(OR($A17="",TYPE(VLOOKUP($A17,Centrum!$D$3:$M$130,10,0))&gt;3),$A$1&lt;4),"",VLOOKUP(VLOOKUP($A17,Centrum!$D$3:$M$130,10,0),Centrum!$A$3:$CB$130,AU$132,0))</f>
        <v>0</v>
      </c>
      <c r="AV17" s="333">
        <f ca="1">IF(OR(OR($A17="",TYPE(VLOOKUP($A17,Centrum!$D$3:$M$130,10,0))&gt;3),$A$1&lt;4),"",VLOOKUP(VLOOKUP($A17,Centrum!$D$3:$M$130,10,0),Centrum!$A$3:$CB$130,AV$132,0))</f>
        <v>-8</v>
      </c>
      <c r="BC17" s="333" t="str">
        <f>IF(OR(OR($A17="",TYPE(VLOOKUP($A17,Centrum!$D$3:$M$130,10,0))&gt;3),$A$1&lt;5),"",VLOOKUP(VLOOKUP($A17,Centrum!$D$3:$M$130,10,0),Centrum!$A$3:$CB$130,BC$132,0))</f>
        <v/>
      </c>
      <c r="BD17" s="333" t="str">
        <f>IF(OR(OR($A17="",TYPE(VLOOKUP($A17,Centrum!$D$3:$M$130,10,0))&gt;3),$A$1&lt;5),"",VLOOKUP(VLOOKUP($A17,Centrum!$D$3:$M$130,10,0),Centrum!$A$3:$CB$130,BD$132,0))</f>
        <v/>
      </c>
      <c r="BE17" s="333" t="str">
        <f>IF(OR(OR($A17="",TYPE(VLOOKUP($A17,Centrum!$D$3:$M$130,10,0))&gt;3),$A$1&lt;5),"",VLOOKUP(VLOOKUP($A17,Centrum!$D$3:$M$130,10,0),Centrum!$A$3:$CB$130,BE$132,0))</f>
        <v/>
      </c>
      <c r="BL17" s="333" t="str">
        <f>IF(OR(OR($A17="",TYPE(VLOOKUP($A17,Centrum!$D$3:$M$130,10,0))&gt;3),$A$1&lt;6),"",VLOOKUP(VLOOKUP($A17,Centrum!$D$3:$M$130,10,0),Centrum!$A$3:$CB$130,BL$132,0))</f>
        <v/>
      </c>
      <c r="BM17" s="333" t="str">
        <f>IF(OR(OR($A17="",TYPE(VLOOKUP($A17,Centrum!$D$3:$M$130,10,0))&gt;3),$A$1&lt;6),"",VLOOKUP(VLOOKUP($A17,Centrum!$D$3:$M$130,10,0),Centrum!$A$3:$CB$130,BM$132,0))</f>
        <v/>
      </c>
      <c r="BN17" s="333" t="str">
        <f>IF(OR(OR($A17="",TYPE(VLOOKUP($A17,Centrum!$D$3:$M$130,10,0))&gt;3),$A$1&lt;6),"",VLOOKUP(VLOOKUP($A17,Centrum!$D$3:$M$130,10,0),Centrum!$A$3:$CB$130,BN$132,0))</f>
        <v/>
      </c>
    </row>
    <row r="18" spans="1:66" x14ac:dyDescent="0.25">
      <c r="A18" s="333">
        <f>Centrum!A18</f>
        <v>16</v>
      </c>
      <c r="B18" s="439" t="str">
        <f>IF(OR($A18="",TYPE(VLOOKUP($A18,Centrum!$D$3:$M$130,10,0))&gt;3),"",VLOOKUP(VLOOKUP(A18,Centrum!$D$3:$M$130,10,0),Centrum!$A$3:$CB$130,B$132,0))</f>
        <v>35 Spolek Park Grébovka - Nepomucký Jaroslav</v>
      </c>
      <c r="C18" s="333">
        <f>IF(OR($A18="",TYPE(VLOOKUP($A18,Centrum!$D$3:$M$130,10,0))&gt;3),"",VLOOKUP($A18,Centrum!$D$3:$M$130,10,0))</f>
        <v>35</v>
      </c>
      <c r="E18" s="333">
        <f ca="1">IF(OR($A18="",TYPE(VLOOKUP($A18,Centrum!$D$3:$M$130,10,0))&gt;3),"",VLOOKUP(VLOOKUP($A18,Centrum!$D$3:$M$130,10,0),Centrum!$A$3:$CB$130,E$132,0))</f>
        <v>3</v>
      </c>
      <c r="F18" s="333">
        <f ca="1">IF(OR($A18="",TYPE(VLOOKUP($A18,Centrum!$D$3:$M$130,10,0))&gt;3),"",VLOOKUP(VLOOKUP($A18,Centrum!$D$3:$M$130,10,0),Centrum!$A$3:$CB$130,F$132,0))</f>
        <v>8</v>
      </c>
      <c r="G18" s="333">
        <f ca="1">IF(OR($A18="",TYPE(VLOOKUP($A18,Centrum!$D$3:$M$130,10,0))&gt;3),"",VLOOKUP(VLOOKUP($A18,Centrum!$D$3:$M$130,10,0),Centrum!$A$3:$CB$130,G$132,0))</f>
        <v>31</v>
      </c>
      <c r="H18" s="333">
        <f ca="1">IF($A18="","",VLOOKUP(VLOOKUP($A18,Centrum!$D$3:$M$130,10,0),Centrum!$A$3:$CB$130,H$132,0))</f>
        <v>5</v>
      </c>
      <c r="I18" s="333">
        <f ca="1">IF($A18="","",VLOOKUP(VLOOKUP($A18,Centrum!$D$3:$M$130,10,0),Centrum!$A$3:$CB$130,I$132,0))</f>
        <v>3</v>
      </c>
      <c r="J18" s="333">
        <f ca="1">IF(OR($A18="",TYPE(VLOOKUP($A18,Centrum!$D$3:$M$130,10,0))&gt;3),"",VLOOKUP(VLOOKUP($A18,Centrum!$D$3:$M$130,10,0),Centrum!$A$3:$CB$130,J$132,0))</f>
        <v>2</v>
      </c>
      <c r="L18" s="333">
        <f ca="1">IF(OR($A18="",TYPE(VLOOKUP($A18,Centrum!$D$3:$M$130,10,0))&gt;3),"",VLOOKUP(VLOOKUP($A18,Centrum!$D$3:$M$130,10,0),Centrum!$A$3:$CB$130,L$132,0))</f>
        <v>10</v>
      </c>
      <c r="M18" s="333">
        <f ca="1">IF(OR($A18="",TYPE(VLOOKUP($A18,Centrum!$D$3:$M$130,10,0))&gt;3),"",VLOOKUP(VLOOKUP($A18,Centrum!$D$3:$M$130,10,0),Centrum!$A$3:$CB$130,M$132,0))</f>
        <v>42</v>
      </c>
      <c r="N18" s="333">
        <f ca="1">IF(OR($A18="",TYPE(VLOOKUP($A18,Centrum!$D$3:$M$130,10,0))&gt;3),"",VLOOKUP(VLOOKUP($A18,Centrum!$D$3:$M$130,10,0),Centrum!$A$3:$CB$130,N$132,0))</f>
        <v>8</v>
      </c>
      <c r="O18" s="333">
        <f ca="1">IF(OR($A18="",TYPE(VLOOKUP($A18,Centrum!$D$3:$M$130,10,0))&gt;3),"",VLOOKUP(VLOOKUP($A18,Centrum!$D$3:$M$130,10,0),Centrum!$A$3:$CB$130,O$132,0))</f>
        <v>3</v>
      </c>
      <c r="P18" s="333">
        <f ca="1">IF(OR($A18="",TYPE(VLOOKUP($A18,Centrum!$D$3:$M$130,10,0))&gt;3),"",VLOOKUP(VLOOKUP($A18,Centrum!$D$3:$M$130,10,0),Centrum!$A$3:$CB$130,P$132,0))</f>
        <v>0</v>
      </c>
      <c r="Q18" s="333">
        <f ca="1">IF(OR($A18="",TYPE(VLOOKUP($A18,Centrum!$D$3:$M$130,10,0))&gt;3),"",VLOOKUP(VLOOKUP($A18,Centrum!$D$3:$M$130,10,0),Centrum!$A$3:$CB$130,Q$132,0))</f>
        <v>0</v>
      </c>
      <c r="S18" s="333">
        <f ca="1">IF(OR($A18="",TYPE(VLOOKUP($A18,Centrum!$D$3:$M$130,10,0))&gt;3),"",VLOOKUP(VLOOKUP($A18,Centrum!$D$3:$M$130,10,0),Centrum!$A$3:$CB$130,S$132,0))</f>
        <v>10</v>
      </c>
      <c r="T18" s="333">
        <f ca="1">IF(OR($A18="",TYPE(VLOOKUP($A18,Centrum!$D$3:$M$130,10,0))&gt;3),"",VLOOKUP(VLOOKUP($A18,Centrum!$D$3:$M$130,10,0),Centrum!$A$3:$CB$130,T$132,0))</f>
        <v>0</v>
      </c>
      <c r="U18" s="333">
        <f ca="1">IF(OR($A18="",TYPE(VLOOKUP($A18,Centrum!$D$3:$M$130,10,0))&gt;3),"",VLOOKUP(VLOOKUP($A18,Centrum!$D$3:$M$130,10,0),Centrum!$A$3:$CB$130,U$132,0))</f>
        <v>-10</v>
      </c>
      <c r="AB18" s="333">
        <f ca="1">IF(OR($A18="",TYPE(VLOOKUP($A18,Centrum!$D$3:$M$130,10,0))&gt;3),"",VLOOKUP(VLOOKUP($A18,Centrum!$D$3:$M$130,10,0),Centrum!$A$3:$CB$130,AB$132,0))</f>
        <v>42</v>
      </c>
      <c r="AC18" s="333">
        <f ca="1">IF(OR($A18="",TYPE(VLOOKUP($A18,Centrum!$D$3:$M$130,10,0))&gt;3),"",VLOOKUP(VLOOKUP($A18,Centrum!$D$3:$M$130,10,0),Centrum!$A$3:$CB$130,AC$132,0))</f>
        <v>1</v>
      </c>
      <c r="AD18" s="333">
        <f ca="1">IF(OR($A18="",TYPE(VLOOKUP($A18,Centrum!$D$3:$M$130,10,0))&gt;3),"",VLOOKUP(VLOOKUP($A18,Centrum!$D$3:$M$130,10,0),Centrum!$A$3:$CB$130,AD$132,0))</f>
        <v>5</v>
      </c>
      <c r="AK18" s="333">
        <f ca="1">IF(OR($A18="",TYPE(VLOOKUP($A18,Centrum!$D$3:$M$130,10,0))&gt;3),"",VLOOKUP(VLOOKUP($A18,Centrum!$D$3:$M$130,10,0),Centrum!$A$3:$CB$130,AK$132,0))</f>
        <v>8</v>
      </c>
      <c r="AL18" s="333">
        <f ca="1">IF(OR($A18="",TYPE(VLOOKUP($A18,Centrum!$D$3:$M$130,10,0))&gt;3),"",VLOOKUP(VLOOKUP($A18,Centrum!$D$3:$M$130,10,0),Centrum!$A$3:$CB$130,AL$132,0))</f>
        <v>1</v>
      </c>
      <c r="AM18" s="333">
        <f ca="1">IF(OR($A18="",TYPE(VLOOKUP($A18,Centrum!$D$3:$M$130,10,0))&gt;3),"",VLOOKUP(VLOOKUP($A18,Centrum!$D$3:$M$130,10,0),Centrum!$A$3:$CB$130,AM$132,0))</f>
        <v>3</v>
      </c>
      <c r="AT18" s="333">
        <f ca="1">IF(OR(OR($A18="",TYPE(VLOOKUP($A18,Centrum!$D$3:$M$130,10,0))&gt;3),$A$1&lt;4),"",VLOOKUP(VLOOKUP($A18,Centrum!$D$3:$M$130,10,0),Centrum!$A$3:$CB$130,AT$132,0))</f>
        <v>3</v>
      </c>
      <c r="AU18" s="333">
        <f ca="1">IF(OR(OR($A18="",TYPE(VLOOKUP($A18,Centrum!$D$3:$M$130,10,0))&gt;3),$A$1&lt;4),"",VLOOKUP(VLOOKUP($A18,Centrum!$D$3:$M$130,10,0),Centrum!$A$3:$CB$130,AU$132,0))</f>
        <v>1</v>
      </c>
      <c r="AV18" s="333">
        <f ca="1">IF(OR(OR($A18="",TYPE(VLOOKUP($A18,Centrum!$D$3:$M$130,10,0))&gt;3),$A$1&lt;4),"",VLOOKUP(VLOOKUP($A18,Centrum!$D$3:$M$130,10,0),Centrum!$A$3:$CB$130,AV$132,0))</f>
        <v>4</v>
      </c>
      <c r="BC18" s="333" t="str">
        <f>IF(OR(OR($A18="",TYPE(VLOOKUP($A18,Centrum!$D$3:$M$130,10,0))&gt;3),$A$1&lt;5),"",VLOOKUP(VLOOKUP($A18,Centrum!$D$3:$M$130,10,0),Centrum!$A$3:$CB$130,BC$132,0))</f>
        <v/>
      </c>
      <c r="BD18" s="333" t="str">
        <f>IF(OR(OR($A18="",TYPE(VLOOKUP($A18,Centrum!$D$3:$M$130,10,0))&gt;3),$A$1&lt;5),"",VLOOKUP(VLOOKUP($A18,Centrum!$D$3:$M$130,10,0),Centrum!$A$3:$CB$130,BD$132,0))</f>
        <v/>
      </c>
      <c r="BE18" s="333" t="str">
        <f>IF(OR(OR($A18="",TYPE(VLOOKUP($A18,Centrum!$D$3:$M$130,10,0))&gt;3),$A$1&lt;5),"",VLOOKUP(VLOOKUP($A18,Centrum!$D$3:$M$130,10,0),Centrum!$A$3:$CB$130,BE$132,0))</f>
        <v/>
      </c>
      <c r="BL18" s="333" t="str">
        <f>IF(OR(OR($A18="",TYPE(VLOOKUP($A18,Centrum!$D$3:$M$130,10,0))&gt;3),$A$1&lt;6),"",VLOOKUP(VLOOKUP($A18,Centrum!$D$3:$M$130,10,0),Centrum!$A$3:$CB$130,BL$132,0))</f>
        <v/>
      </c>
      <c r="BM18" s="333" t="str">
        <f>IF(OR(OR($A18="",TYPE(VLOOKUP($A18,Centrum!$D$3:$M$130,10,0))&gt;3),$A$1&lt;6),"",VLOOKUP(VLOOKUP($A18,Centrum!$D$3:$M$130,10,0),Centrum!$A$3:$CB$130,BM$132,0))</f>
        <v/>
      </c>
      <c r="BN18" s="333" t="str">
        <f>IF(OR(OR($A18="",TYPE(VLOOKUP($A18,Centrum!$D$3:$M$130,10,0))&gt;3),$A$1&lt;6),"",VLOOKUP(VLOOKUP($A18,Centrum!$D$3:$M$130,10,0),Centrum!$A$3:$CB$130,BN$132,0))</f>
        <v/>
      </c>
    </row>
    <row r="19" spans="1:66" x14ac:dyDescent="0.25">
      <c r="A19" s="333">
        <f>Centrum!A19</f>
        <v>17</v>
      </c>
      <c r="B19" s="439" t="str">
        <f>IF(OR($A19="",TYPE(VLOOKUP($A19,Centrum!$D$3:$M$130,10,0))&gt;3),"",VLOOKUP(VLOOKUP(A19,Centrum!$D$3:$M$130,10,0),Centrum!$A$3:$CB$130,B$132,0))</f>
        <v>44 JAPKO - Vais Martin</v>
      </c>
      <c r="C19" s="333">
        <f>IF(OR($A19="",TYPE(VLOOKUP($A19,Centrum!$D$3:$M$130,10,0))&gt;3),"",VLOOKUP($A19,Centrum!$D$3:$M$130,10,0))</f>
        <v>44</v>
      </c>
      <c r="E19" s="333">
        <f ca="1">IF(OR($A19="",TYPE(VLOOKUP($A19,Centrum!$D$3:$M$130,10,0))&gt;3),"",VLOOKUP(VLOOKUP($A19,Centrum!$D$3:$M$130,10,0),Centrum!$A$3:$CB$130,E$132,0))</f>
        <v>3</v>
      </c>
      <c r="F19" s="333">
        <f ca="1">IF(OR($A19="",TYPE(VLOOKUP($A19,Centrum!$D$3:$M$130,10,0))&gt;3),"",VLOOKUP(VLOOKUP($A19,Centrum!$D$3:$M$130,10,0),Centrum!$A$3:$CB$130,F$132,0))</f>
        <v>6</v>
      </c>
      <c r="G19" s="333">
        <f ca="1">IF(OR($A19="",TYPE(VLOOKUP($A19,Centrum!$D$3:$M$130,10,0))&gt;3),"",VLOOKUP(VLOOKUP($A19,Centrum!$D$3:$M$130,10,0),Centrum!$A$3:$CB$130,G$132,0))</f>
        <v>31</v>
      </c>
      <c r="H19" s="333">
        <f ca="1">IF($A19="","",VLOOKUP(VLOOKUP($A19,Centrum!$D$3:$M$130,10,0),Centrum!$A$3:$CB$130,H$132,0))</f>
        <v>3</v>
      </c>
      <c r="I19" s="333">
        <f ca="1">IF($A19="","",VLOOKUP(VLOOKUP($A19,Centrum!$D$3:$M$130,10,0),Centrum!$A$3:$CB$130,I$132,0))</f>
        <v>3</v>
      </c>
      <c r="J19" s="333">
        <f ca="1">IF(OR($A19="",TYPE(VLOOKUP($A19,Centrum!$D$3:$M$130,10,0))&gt;3),"",VLOOKUP(VLOOKUP($A19,Centrum!$D$3:$M$130,10,0),Centrum!$A$3:$CB$130,J$132,0))</f>
        <v>18</v>
      </c>
      <c r="L19" s="333">
        <f ca="1">IF(OR($A19="",TYPE(VLOOKUP($A19,Centrum!$D$3:$M$130,10,0))&gt;3),"",VLOOKUP(VLOOKUP($A19,Centrum!$D$3:$M$130,10,0),Centrum!$A$3:$CB$130,L$132,0))</f>
        <v>19</v>
      </c>
      <c r="M19" s="333" t="str">
        <f ca="1">IF(OR($A19="",TYPE(VLOOKUP($A19,Centrum!$D$3:$M$130,10,0))&gt;3),"",VLOOKUP(VLOOKUP($A19,Centrum!$D$3:$M$130,10,0),Centrum!$A$3:$CB$130,M$132,0))</f>
        <v/>
      </c>
      <c r="N19" s="333">
        <f ca="1">IF(OR($A19="",TYPE(VLOOKUP($A19,Centrum!$D$3:$M$130,10,0))&gt;3),"",VLOOKUP(VLOOKUP($A19,Centrum!$D$3:$M$130,10,0),Centrum!$A$3:$CB$130,N$132,0))</f>
        <v>38</v>
      </c>
      <c r="O19" s="333">
        <f ca="1">IF(OR($A19="",TYPE(VLOOKUP($A19,Centrum!$D$3:$M$130,10,0))&gt;3),"",VLOOKUP(VLOOKUP($A19,Centrum!$D$3:$M$130,10,0),Centrum!$A$3:$CB$130,O$132,0))</f>
        <v>13</v>
      </c>
      <c r="P19" s="333">
        <f ca="1">IF(OR($A19="",TYPE(VLOOKUP($A19,Centrum!$D$3:$M$130,10,0))&gt;3),"",VLOOKUP(VLOOKUP($A19,Centrum!$D$3:$M$130,10,0),Centrum!$A$3:$CB$130,P$132,0))</f>
        <v>0</v>
      </c>
      <c r="Q19" s="333">
        <f ca="1">IF(OR($A19="",TYPE(VLOOKUP($A19,Centrum!$D$3:$M$130,10,0))&gt;3),"",VLOOKUP(VLOOKUP($A19,Centrum!$D$3:$M$130,10,0),Centrum!$A$3:$CB$130,Q$132,0))</f>
        <v>0</v>
      </c>
      <c r="S19" s="333">
        <f ca="1">IF(OR($A19="",TYPE(VLOOKUP($A19,Centrum!$D$3:$M$130,10,0))&gt;3),"",VLOOKUP(VLOOKUP($A19,Centrum!$D$3:$M$130,10,0),Centrum!$A$3:$CB$130,S$132,0))</f>
        <v>19</v>
      </c>
      <c r="T19" s="333">
        <f ca="1">IF(OR($A19="",TYPE(VLOOKUP($A19,Centrum!$D$3:$M$130,10,0))&gt;3),"",VLOOKUP(VLOOKUP($A19,Centrum!$D$3:$M$130,10,0),Centrum!$A$3:$CB$130,T$132,0))</f>
        <v>0</v>
      </c>
      <c r="U19" s="333">
        <f ca="1">IF(OR($A19="",TYPE(VLOOKUP($A19,Centrum!$D$3:$M$130,10,0))&gt;3),"",VLOOKUP(VLOOKUP($A19,Centrum!$D$3:$M$130,10,0),Centrum!$A$3:$CB$130,U$132,0))</f>
        <v>-1</v>
      </c>
      <c r="AB19" s="333" t="str">
        <f ca="1">IF(OR($A19="",TYPE(VLOOKUP($A19,Centrum!$D$3:$M$130,10,0))&gt;3),"",VLOOKUP(VLOOKUP($A19,Centrum!$D$3:$M$130,10,0),Centrum!$A$3:$CB$130,AB$132,0))</f>
        <v/>
      </c>
      <c r="AC19" s="333">
        <f ca="1">IF(OR($A19="",TYPE(VLOOKUP($A19,Centrum!$D$3:$M$130,10,0))&gt;3),"",VLOOKUP(VLOOKUP($A19,Centrum!$D$3:$M$130,10,0),Centrum!$A$3:$CB$130,AC$132,0))</f>
        <v>1</v>
      </c>
      <c r="AD19" s="333">
        <f ca="1">IF(OR($A19="",TYPE(VLOOKUP($A19,Centrum!$D$3:$M$130,10,0))&gt;3),"",VLOOKUP(VLOOKUP($A19,Centrum!$D$3:$M$130,10,0),Centrum!$A$3:$CB$130,AD$132,0))</f>
        <v>6</v>
      </c>
      <c r="AK19" s="333">
        <f ca="1">IF(OR($A19="",TYPE(VLOOKUP($A19,Centrum!$D$3:$M$130,10,0))&gt;3),"",VLOOKUP(VLOOKUP($A19,Centrum!$D$3:$M$130,10,0),Centrum!$A$3:$CB$130,AK$132,0))</f>
        <v>38</v>
      </c>
      <c r="AL19" s="333">
        <f ca="1">IF(OR($A19="",TYPE(VLOOKUP($A19,Centrum!$D$3:$M$130,10,0))&gt;3),"",VLOOKUP(VLOOKUP($A19,Centrum!$D$3:$M$130,10,0),Centrum!$A$3:$CB$130,AL$132,0))</f>
        <v>1</v>
      </c>
      <c r="AM19" s="333">
        <f ca="1">IF(OR($A19="",TYPE(VLOOKUP($A19,Centrum!$D$3:$M$130,10,0))&gt;3),"",VLOOKUP(VLOOKUP($A19,Centrum!$D$3:$M$130,10,0),Centrum!$A$3:$CB$130,AM$132,0))</f>
        <v>1</v>
      </c>
      <c r="AT19" s="333">
        <f ca="1">IF(OR(OR($A19="",TYPE(VLOOKUP($A19,Centrum!$D$3:$M$130,10,0))&gt;3),$A$1&lt;4),"",VLOOKUP(VLOOKUP($A19,Centrum!$D$3:$M$130,10,0),Centrum!$A$3:$CB$130,AT$132,0))</f>
        <v>13</v>
      </c>
      <c r="AU19" s="333">
        <f ca="1">IF(OR(OR($A19="",TYPE(VLOOKUP($A19,Centrum!$D$3:$M$130,10,0))&gt;3),$A$1&lt;4),"",VLOOKUP(VLOOKUP($A19,Centrum!$D$3:$M$130,10,0),Centrum!$A$3:$CB$130,AU$132,0))</f>
        <v>1</v>
      </c>
      <c r="AV19" s="333">
        <f ca="1">IF(OR(OR($A19="",TYPE(VLOOKUP($A19,Centrum!$D$3:$M$130,10,0))&gt;3),$A$1&lt;4),"",VLOOKUP(VLOOKUP($A19,Centrum!$D$3:$M$130,10,0),Centrum!$A$3:$CB$130,AV$132,0))</f>
        <v>12</v>
      </c>
      <c r="BC19" s="333" t="str">
        <f>IF(OR(OR($A19="",TYPE(VLOOKUP($A19,Centrum!$D$3:$M$130,10,0))&gt;3),$A$1&lt;5),"",VLOOKUP(VLOOKUP($A19,Centrum!$D$3:$M$130,10,0),Centrum!$A$3:$CB$130,BC$132,0))</f>
        <v/>
      </c>
      <c r="BD19" s="333" t="str">
        <f>IF(OR(OR($A19="",TYPE(VLOOKUP($A19,Centrum!$D$3:$M$130,10,0))&gt;3),$A$1&lt;5),"",VLOOKUP(VLOOKUP($A19,Centrum!$D$3:$M$130,10,0),Centrum!$A$3:$CB$130,BD$132,0))</f>
        <v/>
      </c>
      <c r="BE19" s="333" t="str">
        <f>IF(OR(OR($A19="",TYPE(VLOOKUP($A19,Centrum!$D$3:$M$130,10,0))&gt;3),$A$1&lt;5),"",VLOOKUP(VLOOKUP($A19,Centrum!$D$3:$M$130,10,0),Centrum!$A$3:$CB$130,BE$132,0))</f>
        <v/>
      </c>
      <c r="BL19" s="333" t="str">
        <f>IF(OR(OR($A19="",TYPE(VLOOKUP($A19,Centrum!$D$3:$M$130,10,0))&gt;3),$A$1&lt;6),"",VLOOKUP(VLOOKUP($A19,Centrum!$D$3:$M$130,10,0),Centrum!$A$3:$CB$130,BL$132,0))</f>
        <v/>
      </c>
      <c r="BM19" s="333" t="str">
        <f>IF(OR(OR($A19="",TYPE(VLOOKUP($A19,Centrum!$D$3:$M$130,10,0))&gt;3),$A$1&lt;6),"",VLOOKUP(VLOOKUP($A19,Centrum!$D$3:$M$130,10,0),Centrum!$A$3:$CB$130,BM$132,0))</f>
        <v/>
      </c>
      <c r="BN19" s="333" t="str">
        <f>IF(OR(OR($A19="",TYPE(VLOOKUP($A19,Centrum!$D$3:$M$130,10,0))&gt;3),$A$1&lt;6),"",VLOOKUP(VLOOKUP($A19,Centrum!$D$3:$M$130,10,0),Centrum!$A$3:$CB$130,BN$132,0))</f>
        <v/>
      </c>
    </row>
    <row r="20" spans="1:66" x14ac:dyDescent="0.25">
      <c r="A20" s="333">
        <f>Centrum!A20</f>
        <v>18</v>
      </c>
      <c r="B20" s="439" t="str">
        <f>IF(OR($A20="",TYPE(VLOOKUP($A20,Centrum!$D$3:$M$130,10,0))&gt;3),"",VLOOKUP(VLOOKUP(A20,Centrum!$D$3:$M$130,10,0),Centrum!$A$3:$CB$130,B$132,0))</f>
        <v>4 1. KPK Vrchlabí - Brázda Vladimír</v>
      </c>
      <c r="C20" s="333">
        <f>IF(OR($A20="",TYPE(VLOOKUP($A20,Centrum!$D$3:$M$130,10,0))&gt;3),"",VLOOKUP($A20,Centrum!$D$3:$M$130,10,0))</f>
        <v>4</v>
      </c>
      <c r="E20" s="333">
        <f ca="1">IF(OR($A20="",TYPE(VLOOKUP($A20,Centrum!$D$3:$M$130,10,0))&gt;3),"",VLOOKUP(VLOOKUP($A20,Centrum!$D$3:$M$130,10,0),Centrum!$A$3:$CB$130,E$132,0))</f>
        <v>2</v>
      </c>
      <c r="F20" s="333">
        <f ca="1">IF(OR($A20="",TYPE(VLOOKUP($A20,Centrum!$D$3:$M$130,10,0))&gt;3),"",VLOOKUP(VLOOKUP($A20,Centrum!$D$3:$M$130,10,0),Centrum!$A$3:$CB$130,F$132,0))</f>
        <v>11</v>
      </c>
      <c r="G20" s="333">
        <f ca="1">IF(OR($A20="",TYPE(VLOOKUP($A20,Centrum!$D$3:$M$130,10,0))&gt;3),"",VLOOKUP(VLOOKUP($A20,Centrum!$D$3:$M$130,10,0),Centrum!$A$3:$CB$130,G$132,0))</f>
        <v>30</v>
      </c>
      <c r="H20" s="333">
        <f ca="1">IF($A20="","",VLOOKUP(VLOOKUP($A20,Centrum!$D$3:$M$130,10,0),Centrum!$A$3:$CB$130,H$132,0))</f>
        <v>5</v>
      </c>
      <c r="I20" s="333">
        <f ca="1">IF($A20="","",VLOOKUP(VLOOKUP($A20,Centrum!$D$3:$M$130,10,0),Centrum!$A$3:$CB$130,I$132,0))</f>
        <v>0</v>
      </c>
      <c r="J20" s="333">
        <f ca="1">IF(OR($A20="",TYPE(VLOOKUP($A20,Centrum!$D$3:$M$130,10,0))&gt;3),"",VLOOKUP(VLOOKUP($A20,Centrum!$D$3:$M$130,10,0),Centrum!$A$3:$CB$130,J$132,0))</f>
        <v>-1</v>
      </c>
      <c r="L20" s="333">
        <f ca="1">IF(OR($A20="",TYPE(VLOOKUP($A20,Centrum!$D$3:$M$130,10,0))&gt;3),"",VLOOKUP(VLOOKUP($A20,Centrum!$D$3:$M$130,10,0),Centrum!$A$3:$CB$130,L$132,0))</f>
        <v>29</v>
      </c>
      <c r="M20" s="333">
        <f ca="1">IF(OR($A20="",TYPE(VLOOKUP($A20,Centrum!$D$3:$M$130,10,0))&gt;3),"",VLOOKUP(VLOOKUP($A20,Centrum!$D$3:$M$130,10,0),Centrum!$A$3:$CB$130,M$132,0))</f>
        <v>10</v>
      </c>
      <c r="N20" s="333">
        <f ca="1">IF(OR($A20="",TYPE(VLOOKUP($A20,Centrum!$D$3:$M$130,10,0))&gt;3),"",VLOOKUP(VLOOKUP($A20,Centrum!$D$3:$M$130,10,0),Centrum!$A$3:$CB$130,N$132,0))</f>
        <v>3</v>
      </c>
      <c r="O20" s="333">
        <f ca="1">IF(OR($A20="",TYPE(VLOOKUP($A20,Centrum!$D$3:$M$130,10,0))&gt;3),"",VLOOKUP(VLOOKUP($A20,Centrum!$D$3:$M$130,10,0),Centrum!$A$3:$CB$130,O$132,0))</f>
        <v>1</v>
      </c>
      <c r="P20" s="333">
        <f ca="1">IF(OR($A20="",TYPE(VLOOKUP($A20,Centrum!$D$3:$M$130,10,0))&gt;3),"",VLOOKUP(VLOOKUP($A20,Centrum!$D$3:$M$130,10,0),Centrum!$A$3:$CB$130,P$132,0))</f>
        <v>0</v>
      </c>
      <c r="Q20" s="333">
        <f ca="1">IF(OR($A20="",TYPE(VLOOKUP($A20,Centrum!$D$3:$M$130,10,0))&gt;3),"",VLOOKUP(VLOOKUP($A20,Centrum!$D$3:$M$130,10,0),Centrum!$A$3:$CB$130,Q$132,0))</f>
        <v>0</v>
      </c>
      <c r="S20" s="333">
        <f ca="1">IF(OR($A20="",TYPE(VLOOKUP($A20,Centrum!$D$3:$M$130,10,0))&gt;3),"",VLOOKUP(VLOOKUP($A20,Centrum!$D$3:$M$130,10,0),Centrum!$A$3:$CB$130,S$132,0))</f>
        <v>29</v>
      </c>
      <c r="T20" s="333">
        <f ca="1">IF(OR($A20="",TYPE(VLOOKUP($A20,Centrum!$D$3:$M$130,10,0))&gt;3),"",VLOOKUP(VLOOKUP($A20,Centrum!$D$3:$M$130,10,0),Centrum!$A$3:$CB$130,T$132,0))</f>
        <v>1</v>
      </c>
      <c r="U20" s="333">
        <f ca="1">IF(OR($A20="",TYPE(VLOOKUP($A20,Centrum!$D$3:$M$130,10,0))&gt;3),"",VLOOKUP(VLOOKUP($A20,Centrum!$D$3:$M$130,10,0),Centrum!$A$3:$CB$130,U$132,0))</f>
        <v>3</v>
      </c>
      <c r="AB20" s="333">
        <f ca="1">IF(OR($A20="",TYPE(VLOOKUP($A20,Centrum!$D$3:$M$130,10,0))&gt;3),"",VLOOKUP(VLOOKUP($A20,Centrum!$D$3:$M$130,10,0),Centrum!$A$3:$CB$130,AB$132,0))</f>
        <v>10</v>
      </c>
      <c r="AC20" s="333">
        <f ca="1">IF(OR($A20="",TYPE(VLOOKUP($A20,Centrum!$D$3:$M$130,10,0))&gt;3),"",VLOOKUP(VLOOKUP($A20,Centrum!$D$3:$M$130,10,0),Centrum!$A$3:$CB$130,AC$132,0))</f>
        <v>1</v>
      </c>
      <c r="AD20" s="333">
        <f ca="1">IF(OR($A20="",TYPE(VLOOKUP($A20,Centrum!$D$3:$M$130,10,0))&gt;3),"",VLOOKUP(VLOOKUP($A20,Centrum!$D$3:$M$130,10,0),Centrum!$A$3:$CB$130,AD$132,0))</f>
        <v>2</v>
      </c>
      <c r="AK20" s="333">
        <f ca="1">IF(OR($A20="",TYPE(VLOOKUP($A20,Centrum!$D$3:$M$130,10,0))&gt;3),"",VLOOKUP(VLOOKUP($A20,Centrum!$D$3:$M$130,10,0),Centrum!$A$3:$CB$130,AK$132,0))</f>
        <v>3</v>
      </c>
      <c r="AL20" s="333">
        <f ca="1">IF(OR($A20="",TYPE(VLOOKUP($A20,Centrum!$D$3:$M$130,10,0))&gt;3),"",VLOOKUP(VLOOKUP($A20,Centrum!$D$3:$M$130,10,0),Centrum!$A$3:$CB$130,AL$132,0))</f>
        <v>0</v>
      </c>
      <c r="AM20" s="333">
        <f ca="1">IF(OR($A20="",TYPE(VLOOKUP($A20,Centrum!$D$3:$M$130,10,0))&gt;3),"",VLOOKUP(VLOOKUP($A20,Centrum!$D$3:$M$130,10,0),Centrum!$A$3:$CB$130,AM$132,0))</f>
        <v>-3</v>
      </c>
      <c r="AT20" s="333">
        <f ca="1">IF(OR(OR($A20="",TYPE(VLOOKUP($A20,Centrum!$D$3:$M$130,10,0))&gt;3),$A$1&lt;4),"",VLOOKUP(VLOOKUP($A20,Centrum!$D$3:$M$130,10,0),Centrum!$A$3:$CB$130,AT$132,0))</f>
        <v>1</v>
      </c>
      <c r="AU20" s="333">
        <f ca="1">IF(OR(OR($A20="",TYPE(VLOOKUP($A20,Centrum!$D$3:$M$130,10,0))&gt;3),$A$1&lt;4),"",VLOOKUP(VLOOKUP($A20,Centrum!$D$3:$M$130,10,0),Centrum!$A$3:$CB$130,AU$132,0))</f>
        <v>0</v>
      </c>
      <c r="AV20" s="333">
        <f ca="1">IF(OR(OR($A20="",TYPE(VLOOKUP($A20,Centrum!$D$3:$M$130,10,0))&gt;3),$A$1&lt;4),"",VLOOKUP(VLOOKUP($A20,Centrum!$D$3:$M$130,10,0),Centrum!$A$3:$CB$130,AV$132,0))</f>
        <v>-3</v>
      </c>
      <c r="BC20" s="333" t="str">
        <f>IF(OR(OR($A20="",TYPE(VLOOKUP($A20,Centrum!$D$3:$M$130,10,0))&gt;3),$A$1&lt;5),"",VLOOKUP(VLOOKUP($A20,Centrum!$D$3:$M$130,10,0),Centrum!$A$3:$CB$130,BC$132,0))</f>
        <v/>
      </c>
      <c r="BD20" s="333" t="str">
        <f>IF(OR(OR($A20="",TYPE(VLOOKUP($A20,Centrum!$D$3:$M$130,10,0))&gt;3),$A$1&lt;5),"",VLOOKUP(VLOOKUP($A20,Centrum!$D$3:$M$130,10,0),Centrum!$A$3:$CB$130,BD$132,0))</f>
        <v/>
      </c>
      <c r="BE20" s="333" t="str">
        <f>IF(OR(OR($A20="",TYPE(VLOOKUP($A20,Centrum!$D$3:$M$130,10,0))&gt;3),$A$1&lt;5),"",VLOOKUP(VLOOKUP($A20,Centrum!$D$3:$M$130,10,0),Centrum!$A$3:$CB$130,BE$132,0))</f>
        <v/>
      </c>
      <c r="BL20" s="333" t="str">
        <f>IF(OR(OR($A20="",TYPE(VLOOKUP($A20,Centrum!$D$3:$M$130,10,0))&gt;3),$A$1&lt;6),"",VLOOKUP(VLOOKUP($A20,Centrum!$D$3:$M$130,10,0),Centrum!$A$3:$CB$130,BL$132,0))</f>
        <v/>
      </c>
      <c r="BM20" s="333" t="str">
        <f>IF(OR(OR($A20="",TYPE(VLOOKUP($A20,Centrum!$D$3:$M$130,10,0))&gt;3),$A$1&lt;6),"",VLOOKUP(VLOOKUP($A20,Centrum!$D$3:$M$130,10,0),Centrum!$A$3:$CB$130,BM$132,0))</f>
        <v/>
      </c>
      <c r="BN20" s="333" t="str">
        <f>IF(OR(OR($A20="",TYPE(VLOOKUP($A20,Centrum!$D$3:$M$130,10,0))&gt;3),$A$1&lt;6),"",VLOOKUP(VLOOKUP($A20,Centrum!$D$3:$M$130,10,0),Centrum!$A$3:$CB$130,BN$132,0))</f>
        <v/>
      </c>
    </row>
    <row r="21" spans="1:66" x14ac:dyDescent="0.25">
      <c r="A21" s="333">
        <f>Centrum!A21</f>
        <v>19</v>
      </c>
      <c r="B21" s="439" t="str">
        <f>IF(OR($A21="",TYPE(VLOOKUP($A21,Centrum!$D$3:$M$130,10,0))&gt;3),"",VLOOKUP(VLOOKUP(A21,Centrum!$D$3:$M$130,10,0),Centrum!$A$3:$CB$130,B$132,0))</f>
        <v>50 SK Španielka Řepy - Čaněk Radovan</v>
      </c>
      <c r="C21" s="333">
        <f>IF(OR($A21="",TYPE(VLOOKUP($A21,Centrum!$D$3:$M$130,10,0))&gt;3),"",VLOOKUP($A21,Centrum!$D$3:$M$130,10,0))</f>
        <v>50</v>
      </c>
      <c r="E21" s="333">
        <f ca="1">IF(OR($A21="",TYPE(VLOOKUP($A21,Centrum!$D$3:$M$130,10,0))&gt;3),"",VLOOKUP(VLOOKUP($A21,Centrum!$D$3:$M$130,10,0),Centrum!$A$3:$CB$130,E$132,0))</f>
        <v>2</v>
      </c>
      <c r="F21" s="333">
        <f ca="1">IF(OR($A21="",TYPE(VLOOKUP($A21,Centrum!$D$3:$M$130,10,0))&gt;3),"",VLOOKUP(VLOOKUP($A21,Centrum!$D$3:$M$130,10,0),Centrum!$A$3:$CB$130,F$132,0))</f>
        <v>11</v>
      </c>
      <c r="G21" s="333">
        <f ca="1">IF(OR($A21="",TYPE(VLOOKUP($A21,Centrum!$D$3:$M$130,10,0))&gt;3),"",VLOOKUP(VLOOKUP($A21,Centrum!$D$3:$M$130,10,0),Centrum!$A$3:$CB$130,G$132,0))</f>
        <v>30</v>
      </c>
      <c r="H21" s="333">
        <f ca="1">IF($A21="","",VLOOKUP(VLOOKUP($A21,Centrum!$D$3:$M$130,10,0),Centrum!$A$3:$CB$130,H$132,0))</f>
        <v>4</v>
      </c>
      <c r="I21" s="333">
        <f ca="1">IF($A21="","",VLOOKUP(VLOOKUP($A21,Centrum!$D$3:$M$130,10,0),Centrum!$A$3:$CB$130,I$132,0))</f>
        <v>2</v>
      </c>
      <c r="J21" s="333">
        <f ca="1">IF(OR($A21="",TYPE(VLOOKUP($A21,Centrum!$D$3:$M$130,10,0))&gt;3),"",VLOOKUP(VLOOKUP($A21,Centrum!$D$3:$M$130,10,0),Centrum!$A$3:$CB$130,J$132,0))</f>
        <v>-14</v>
      </c>
      <c r="L21" s="333">
        <f ca="1">IF(OR($A21="",TYPE(VLOOKUP($A21,Centrum!$D$3:$M$130,10,0))&gt;3),"",VLOOKUP(VLOOKUP($A21,Centrum!$D$3:$M$130,10,0),Centrum!$A$3:$CB$130,L$132,0))</f>
        <v>25</v>
      </c>
      <c r="M21" s="333">
        <f ca="1">IF(OR($A21="",TYPE(VLOOKUP($A21,Centrum!$D$3:$M$130,10,0))&gt;3),"",VLOOKUP(VLOOKUP($A21,Centrum!$D$3:$M$130,10,0),Centrum!$A$3:$CB$130,M$132,0))</f>
        <v>6</v>
      </c>
      <c r="N21" s="333">
        <f ca="1">IF(OR($A21="",TYPE(VLOOKUP($A21,Centrum!$D$3:$M$130,10,0))&gt;3),"",VLOOKUP(VLOOKUP($A21,Centrum!$D$3:$M$130,10,0),Centrum!$A$3:$CB$130,N$132,0))</f>
        <v>15</v>
      </c>
      <c r="O21" s="333">
        <f ca="1">IF(OR($A21="",TYPE(VLOOKUP($A21,Centrum!$D$3:$M$130,10,0))&gt;3),"",VLOOKUP(VLOOKUP($A21,Centrum!$D$3:$M$130,10,0),Centrum!$A$3:$CB$130,O$132,0))</f>
        <v>20</v>
      </c>
      <c r="P21" s="333">
        <f ca="1">IF(OR($A21="",TYPE(VLOOKUP($A21,Centrum!$D$3:$M$130,10,0))&gt;3),"",VLOOKUP(VLOOKUP($A21,Centrum!$D$3:$M$130,10,0),Centrum!$A$3:$CB$130,P$132,0))</f>
        <v>0</v>
      </c>
      <c r="Q21" s="333">
        <f ca="1">IF(OR($A21="",TYPE(VLOOKUP($A21,Centrum!$D$3:$M$130,10,0))&gt;3),"",VLOOKUP(VLOOKUP($A21,Centrum!$D$3:$M$130,10,0),Centrum!$A$3:$CB$130,Q$132,0))</f>
        <v>0</v>
      </c>
      <c r="S21" s="333">
        <f ca="1">IF(OR($A21="",TYPE(VLOOKUP($A21,Centrum!$D$3:$M$130,10,0))&gt;3),"",VLOOKUP(VLOOKUP($A21,Centrum!$D$3:$M$130,10,0),Centrum!$A$3:$CB$130,S$132,0))</f>
        <v>25</v>
      </c>
      <c r="T21" s="333">
        <f ca="1">IF(OR($A21="",TYPE(VLOOKUP($A21,Centrum!$D$3:$M$130,10,0))&gt;3),"",VLOOKUP(VLOOKUP($A21,Centrum!$D$3:$M$130,10,0),Centrum!$A$3:$CB$130,T$132,0))</f>
        <v>1</v>
      </c>
      <c r="U21" s="333">
        <f ca="1">IF(OR($A21="",TYPE(VLOOKUP($A21,Centrum!$D$3:$M$130,10,0))&gt;3),"",VLOOKUP(VLOOKUP($A21,Centrum!$D$3:$M$130,10,0),Centrum!$A$3:$CB$130,U$132,0))</f>
        <v>1</v>
      </c>
      <c r="AB21" s="333">
        <f ca="1">IF(OR($A21="",TYPE(VLOOKUP($A21,Centrum!$D$3:$M$130,10,0))&gt;3),"",VLOOKUP(VLOOKUP($A21,Centrum!$D$3:$M$130,10,0),Centrum!$A$3:$CB$130,AB$132,0))</f>
        <v>6</v>
      </c>
      <c r="AC21" s="333">
        <f ca="1">IF(OR($A21="",TYPE(VLOOKUP($A21,Centrum!$D$3:$M$130,10,0))&gt;3),"",VLOOKUP(VLOOKUP($A21,Centrum!$D$3:$M$130,10,0),Centrum!$A$3:$CB$130,AC$132,0))</f>
        <v>0</v>
      </c>
      <c r="AD21" s="333">
        <f ca="1">IF(OR($A21="",TYPE(VLOOKUP($A21,Centrum!$D$3:$M$130,10,0))&gt;3),"",VLOOKUP(VLOOKUP($A21,Centrum!$D$3:$M$130,10,0),Centrum!$A$3:$CB$130,AD$132,0))</f>
        <v>-9</v>
      </c>
      <c r="AK21" s="333">
        <f ca="1">IF(OR($A21="",TYPE(VLOOKUP($A21,Centrum!$D$3:$M$130,10,0))&gt;3),"",VLOOKUP(VLOOKUP($A21,Centrum!$D$3:$M$130,10,0),Centrum!$A$3:$CB$130,AK$132,0))</f>
        <v>15</v>
      </c>
      <c r="AL21" s="333">
        <f ca="1">IF(OR($A21="",TYPE(VLOOKUP($A21,Centrum!$D$3:$M$130,10,0))&gt;3),"",VLOOKUP(VLOOKUP($A21,Centrum!$D$3:$M$130,10,0),Centrum!$A$3:$CB$130,AL$132,0))</f>
        <v>1</v>
      </c>
      <c r="AM21" s="333">
        <f ca="1">IF(OR($A21="",TYPE(VLOOKUP($A21,Centrum!$D$3:$M$130,10,0))&gt;3),"",VLOOKUP(VLOOKUP($A21,Centrum!$D$3:$M$130,10,0),Centrum!$A$3:$CB$130,AM$132,0))</f>
        <v>1</v>
      </c>
      <c r="AT21" s="333">
        <f ca="1">IF(OR(OR($A21="",TYPE(VLOOKUP($A21,Centrum!$D$3:$M$130,10,0))&gt;3),$A$1&lt;4),"",VLOOKUP(VLOOKUP($A21,Centrum!$D$3:$M$130,10,0),Centrum!$A$3:$CB$130,AT$132,0))</f>
        <v>20</v>
      </c>
      <c r="AU21" s="333">
        <f ca="1">IF(OR(OR($A21="",TYPE(VLOOKUP($A21,Centrum!$D$3:$M$130,10,0))&gt;3),$A$1&lt;4),"",VLOOKUP(VLOOKUP($A21,Centrum!$D$3:$M$130,10,0),Centrum!$A$3:$CB$130,AU$132,0))</f>
        <v>0</v>
      </c>
      <c r="AV21" s="333">
        <f ca="1">IF(OR(OR($A21="",TYPE(VLOOKUP($A21,Centrum!$D$3:$M$130,10,0))&gt;3),$A$1&lt;4),"",VLOOKUP(VLOOKUP($A21,Centrum!$D$3:$M$130,10,0),Centrum!$A$3:$CB$130,AV$132,0))</f>
        <v>-7</v>
      </c>
      <c r="BC21" s="333" t="str">
        <f>IF(OR(OR($A21="",TYPE(VLOOKUP($A21,Centrum!$D$3:$M$130,10,0))&gt;3),$A$1&lt;5),"",VLOOKUP(VLOOKUP($A21,Centrum!$D$3:$M$130,10,0),Centrum!$A$3:$CB$130,BC$132,0))</f>
        <v/>
      </c>
      <c r="BD21" s="333" t="str">
        <f>IF(OR(OR($A21="",TYPE(VLOOKUP($A21,Centrum!$D$3:$M$130,10,0))&gt;3),$A$1&lt;5),"",VLOOKUP(VLOOKUP($A21,Centrum!$D$3:$M$130,10,0),Centrum!$A$3:$CB$130,BD$132,0))</f>
        <v/>
      </c>
      <c r="BE21" s="333" t="str">
        <f>IF(OR(OR($A21="",TYPE(VLOOKUP($A21,Centrum!$D$3:$M$130,10,0))&gt;3),$A$1&lt;5),"",VLOOKUP(VLOOKUP($A21,Centrum!$D$3:$M$130,10,0),Centrum!$A$3:$CB$130,BE$132,0))</f>
        <v/>
      </c>
      <c r="BL21" s="333" t="str">
        <f>IF(OR(OR($A21="",TYPE(VLOOKUP($A21,Centrum!$D$3:$M$130,10,0))&gt;3),$A$1&lt;6),"",VLOOKUP(VLOOKUP($A21,Centrum!$D$3:$M$130,10,0),Centrum!$A$3:$CB$130,BL$132,0))</f>
        <v/>
      </c>
      <c r="BM21" s="333" t="str">
        <f>IF(OR(OR($A21="",TYPE(VLOOKUP($A21,Centrum!$D$3:$M$130,10,0))&gt;3),$A$1&lt;6),"",VLOOKUP(VLOOKUP($A21,Centrum!$D$3:$M$130,10,0),Centrum!$A$3:$CB$130,BM$132,0))</f>
        <v/>
      </c>
      <c r="BN21" s="333" t="str">
        <f>IF(OR(OR($A21="",TYPE(VLOOKUP($A21,Centrum!$D$3:$M$130,10,0))&gt;3),$A$1&lt;6),"",VLOOKUP(VLOOKUP($A21,Centrum!$D$3:$M$130,10,0),Centrum!$A$3:$CB$130,BN$132,0))</f>
        <v/>
      </c>
    </row>
    <row r="22" spans="1:66" x14ac:dyDescent="0.25">
      <c r="A22" s="333">
        <f>Centrum!A22</f>
        <v>20</v>
      </c>
      <c r="B22" s="439" t="str">
        <f>IF(OR($A22="",TYPE(VLOOKUP($A22,Centrum!$D$3:$M$130,10,0))&gt;3),"",VLOOKUP(VLOOKUP(A22,Centrum!$D$3:$M$130,10,0),Centrum!$A$3:$CB$130,B$132,0))</f>
        <v>31 SKP Kulová osma - Koudelková Ema</v>
      </c>
      <c r="C22" s="333">
        <f>IF(OR($A22="",TYPE(VLOOKUP($A22,Centrum!$D$3:$M$130,10,0))&gt;3),"",VLOOKUP($A22,Centrum!$D$3:$M$130,10,0))</f>
        <v>31</v>
      </c>
      <c r="E22" s="333">
        <f ca="1">IF(OR($A22="",TYPE(VLOOKUP($A22,Centrum!$D$3:$M$130,10,0))&gt;3),"",VLOOKUP(VLOOKUP($A22,Centrum!$D$3:$M$130,10,0),Centrum!$A$3:$CB$130,E$132,0))</f>
        <v>2</v>
      </c>
      <c r="F22" s="333">
        <f ca="1">IF(OR($A22="",TYPE(VLOOKUP($A22,Centrum!$D$3:$M$130,10,0))&gt;3),"",VLOOKUP(VLOOKUP($A22,Centrum!$D$3:$M$130,10,0),Centrum!$A$3:$CB$130,F$132,0))</f>
        <v>10</v>
      </c>
      <c r="G22" s="333">
        <f ca="1">IF(OR($A22="",TYPE(VLOOKUP($A22,Centrum!$D$3:$M$130,10,0))&gt;3),"",VLOOKUP(VLOOKUP($A22,Centrum!$D$3:$M$130,10,0),Centrum!$A$3:$CB$130,G$132,0))</f>
        <v>36</v>
      </c>
      <c r="H22" s="333">
        <f ca="1">IF($A22="","",VLOOKUP(VLOOKUP($A22,Centrum!$D$3:$M$130,10,0),Centrum!$A$3:$CB$130,H$132,0))</f>
        <v>3</v>
      </c>
      <c r="I22" s="333">
        <f ca="1">IF($A22="","",VLOOKUP(VLOOKUP($A22,Centrum!$D$3:$M$130,10,0),Centrum!$A$3:$CB$130,I$132,0))</f>
        <v>2</v>
      </c>
      <c r="J22" s="333">
        <f ca="1">IF(OR($A22="",TYPE(VLOOKUP($A22,Centrum!$D$3:$M$130,10,0))&gt;3),"",VLOOKUP(VLOOKUP($A22,Centrum!$D$3:$M$130,10,0),Centrum!$A$3:$CB$130,J$132,0))</f>
        <v>-6</v>
      </c>
      <c r="L22" s="333">
        <f ca="1">IF(OR($A22="",TYPE(VLOOKUP($A22,Centrum!$D$3:$M$130,10,0))&gt;3),"",VLOOKUP(VLOOKUP($A22,Centrum!$D$3:$M$130,10,0),Centrum!$A$3:$CB$130,L$132,0))</f>
        <v>6</v>
      </c>
      <c r="M22" s="333">
        <f ca="1">IF(OR($A22="",TYPE(VLOOKUP($A22,Centrum!$D$3:$M$130,10,0))&gt;3),"",VLOOKUP(VLOOKUP($A22,Centrum!$D$3:$M$130,10,0),Centrum!$A$3:$CB$130,M$132,0))</f>
        <v>34</v>
      </c>
      <c r="N22" s="333">
        <f ca="1">IF(OR($A22="",TYPE(VLOOKUP($A22,Centrum!$D$3:$M$130,10,0))&gt;3),"",VLOOKUP(VLOOKUP($A22,Centrum!$D$3:$M$130,10,0),Centrum!$A$3:$CB$130,N$132,0))</f>
        <v>40</v>
      </c>
      <c r="O22" s="333">
        <f ca="1">IF(OR($A22="",TYPE(VLOOKUP($A22,Centrum!$D$3:$M$130,10,0))&gt;3),"",VLOOKUP(VLOOKUP($A22,Centrum!$D$3:$M$130,10,0),Centrum!$A$3:$CB$130,O$132,0))</f>
        <v>45</v>
      </c>
      <c r="P22" s="333">
        <f ca="1">IF(OR($A22="",TYPE(VLOOKUP($A22,Centrum!$D$3:$M$130,10,0))&gt;3),"",VLOOKUP(VLOOKUP($A22,Centrum!$D$3:$M$130,10,0),Centrum!$A$3:$CB$130,P$132,0))</f>
        <v>0</v>
      </c>
      <c r="Q22" s="333">
        <f ca="1">IF(OR($A22="",TYPE(VLOOKUP($A22,Centrum!$D$3:$M$130,10,0))&gt;3),"",VLOOKUP(VLOOKUP($A22,Centrum!$D$3:$M$130,10,0),Centrum!$A$3:$CB$130,Q$132,0))</f>
        <v>0</v>
      </c>
      <c r="S22" s="333">
        <f ca="1">IF(OR($A22="",TYPE(VLOOKUP($A22,Centrum!$D$3:$M$130,10,0))&gt;3),"",VLOOKUP(VLOOKUP($A22,Centrum!$D$3:$M$130,10,0),Centrum!$A$3:$CB$130,S$132,0))</f>
        <v>6</v>
      </c>
      <c r="T22" s="333">
        <f ca="1">IF(OR($A22="",TYPE(VLOOKUP($A22,Centrum!$D$3:$M$130,10,0))&gt;3),"",VLOOKUP(VLOOKUP($A22,Centrum!$D$3:$M$130,10,0),Centrum!$A$3:$CB$130,T$132,0))</f>
        <v>0</v>
      </c>
      <c r="U22" s="333">
        <f ca="1">IF(OR($A22="",TYPE(VLOOKUP($A22,Centrum!$D$3:$M$130,10,0))&gt;3),"",VLOOKUP(VLOOKUP($A22,Centrum!$D$3:$M$130,10,0),Centrum!$A$3:$CB$130,U$132,0))</f>
        <v>-10</v>
      </c>
      <c r="AB22" s="333">
        <f ca="1">IF(OR($A22="",TYPE(VLOOKUP($A22,Centrum!$D$3:$M$130,10,0))&gt;3),"",VLOOKUP(VLOOKUP($A22,Centrum!$D$3:$M$130,10,0),Centrum!$A$3:$CB$130,AB$132,0))</f>
        <v>34</v>
      </c>
      <c r="AC22" s="333">
        <f ca="1">IF(OR($A22="",TYPE(VLOOKUP($A22,Centrum!$D$3:$M$130,10,0))&gt;3),"",VLOOKUP(VLOOKUP($A22,Centrum!$D$3:$M$130,10,0),Centrum!$A$3:$CB$130,AC$132,0))</f>
        <v>1</v>
      </c>
      <c r="AD22" s="333">
        <f ca="1">IF(OR($A22="",TYPE(VLOOKUP($A22,Centrum!$D$3:$M$130,10,0))&gt;3),"",VLOOKUP(VLOOKUP($A22,Centrum!$D$3:$M$130,10,0),Centrum!$A$3:$CB$130,AD$132,0))</f>
        <v>8</v>
      </c>
      <c r="AK22" s="333">
        <f ca="1">IF(OR($A22="",TYPE(VLOOKUP($A22,Centrum!$D$3:$M$130,10,0))&gt;3),"",VLOOKUP(VLOOKUP($A22,Centrum!$D$3:$M$130,10,0),Centrum!$A$3:$CB$130,AK$132,0))</f>
        <v>40</v>
      </c>
      <c r="AL22" s="333">
        <f ca="1">IF(OR($A22="",TYPE(VLOOKUP($A22,Centrum!$D$3:$M$130,10,0))&gt;3),"",VLOOKUP(VLOOKUP($A22,Centrum!$D$3:$M$130,10,0),Centrum!$A$3:$CB$130,AL$132,0))</f>
        <v>1</v>
      </c>
      <c r="AM22" s="333">
        <f ca="1">IF(OR($A22="",TYPE(VLOOKUP($A22,Centrum!$D$3:$M$130,10,0))&gt;3),"",VLOOKUP(VLOOKUP($A22,Centrum!$D$3:$M$130,10,0),Centrum!$A$3:$CB$130,AM$132,0))</f>
        <v>3</v>
      </c>
      <c r="AT22" s="333">
        <f ca="1">IF(OR(OR($A22="",TYPE(VLOOKUP($A22,Centrum!$D$3:$M$130,10,0))&gt;3),$A$1&lt;4),"",VLOOKUP(VLOOKUP($A22,Centrum!$D$3:$M$130,10,0),Centrum!$A$3:$CB$130,AT$132,0))</f>
        <v>45</v>
      </c>
      <c r="AU22" s="333">
        <f ca="1">IF(OR(OR($A22="",TYPE(VLOOKUP($A22,Centrum!$D$3:$M$130,10,0))&gt;3),$A$1&lt;4),"",VLOOKUP(VLOOKUP($A22,Centrum!$D$3:$M$130,10,0),Centrum!$A$3:$CB$130,AU$132,0))</f>
        <v>0</v>
      </c>
      <c r="AV22" s="333">
        <f ca="1">IF(OR(OR($A22="",TYPE(VLOOKUP($A22,Centrum!$D$3:$M$130,10,0))&gt;3),$A$1&lt;4),"",VLOOKUP(VLOOKUP($A22,Centrum!$D$3:$M$130,10,0),Centrum!$A$3:$CB$130,AV$132,0))</f>
        <v>-7</v>
      </c>
      <c r="BC22" s="333" t="str">
        <f>IF(OR(OR($A22="",TYPE(VLOOKUP($A22,Centrum!$D$3:$M$130,10,0))&gt;3),$A$1&lt;5),"",VLOOKUP(VLOOKUP($A22,Centrum!$D$3:$M$130,10,0),Centrum!$A$3:$CB$130,BC$132,0))</f>
        <v/>
      </c>
      <c r="BD22" s="333" t="str">
        <f>IF(OR(OR($A22="",TYPE(VLOOKUP($A22,Centrum!$D$3:$M$130,10,0))&gt;3),$A$1&lt;5),"",VLOOKUP(VLOOKUP($A22,Centrum!$D$3:$M$130,10,0),Centrum!$A$3:$CB$130,BD$132,0))</f>
        <v/>
      </c>
      <c r="BE22" s="333" t="str">
        <f>IF(OR(OR($A22="",TYPE(VLOOKUP($A22,Centrum!$D$3:$M$130,10,0))&gt;3),$A$1&lt;5),"",VLOOKUP(VLOOKUP($A22,Centrum!$D$3:$M$130,10,0),Centrum!$A$3:$CB$130,BE$132,0))</f>
        <v/>
      </c>
      <c r="BL22" s="333" t="str">
        <f>IF(OR(OR($A22="",TYPE(VLOOKUP($A22,Centrum!$D$3:$M$130,10,0))&gt;3),$A$1&lt;6),"",VLOOKUP(VLOOKUP($A22,Centrum!$D$3:$M$130,10,0),Centrum!$A$3:$CB$130,BL$132,0))</f>
        <v/>
      </c>
      <c r="BM22" s="333" t="str">
        <f>IF(OR(OR($A22="",TYPE(VLOOKUP($A22,Centrum!$D$3:$M$130,10,0))&gt;3),$A$1&lt;6),"",VLOOKUP(VLOOKUP($A22,Centrum!$D$3:$M$130,10,0),Centrum!$A$3:$CB$130,BM$132,0))</f>
        <v/>
      </c>
      <c r="BN22" s="333" t="str">
        <f>IF(OR(OR($A22="",TYPE(VLOOKUP($A22,Centrum!$D$3:$M$130,10,0))&gt;3),$A$1&lt;6),"",VLOOKUP(VLOOKUP($A22,Centrum!$D$3:$M$130,10,0),Centrum!$A$3:$CB$130,BN$132,0))</f>
        <v/>
      </c>
    </row>
    <row r="23" spans="1:66" x14ac:dyDescent="0.25">
      <c r="A23" s="333">
        <f>Centrum!A23</f>
        <v>21</v>
      </c>
      <c r="B23" s="439" t="str">
        <f>IF(OR($A23="",TYPE(VLOOKUP($A23,Centrum!$D$3:$M$130,10,0))&gt;3),"",VLOOKUP(VLOOKUP(A23,Centrum!$D$3:$M$130,10,0),Centrum!$A$3:$CB$130,B$132,0))</f>
        <v>24 CdP Loděnice - Čermák Jiří</v>
      </c>
      <c r="C23" s="333">
        <f>IF(OR($A23="",TYPE(VLOOKUP($A23,Centrum!$D$3:$M$130,10,0))&gt;3),"",VLOOKUP($A23,Centrum!$D$3:$M$130,10,0))</f>
        <v>24</v>
      </c>
      <c r="E23" s="333">
        <f ca="1">IF(OR($A23="",TYPE(VLOOKUP($A23,Centrum!$D$3:$M$130,10,0))&gt;3),"",VLOOKUP(VLOOKUP($A23,Centrum!$D$3:$M$130,10,0),Centrum!$A$3:$CB$130,E$132,0))</f>
        <v>2</v>
      </c>
      <c r="F23" s="333">
        <f ca="1">IF(OR($A23="",TYPE(VLOOKUP($A23,Centrum!$D$3:$M$130,10,0))&gt;3),"",VLOOKUP(VLOOKUP($A23,Centrum!$D$3:$M$130,10,0),Centrum!$A$3:$CB$130,F$132,0))</f>
        <v>10</v>
      </c>
      <c r="G23" s="333">
        <f ca="1">IF(OR($A23="",TYPE(VLOOKUP($A23,Centrum!$D$3:$M$130,10,0))&gt;3),"",VLOOKUP(VLOOKUP($A23,Centrum!$D$3:$M$130,10,0),Centrum!$A$3:$CB$130,G$132,0))</f>
        <v>35</v>
      </c>
      <c r="H23" s="333">
        <f ca="1">IF($A23="","",VLOOKUP(VLOOKUP($A23,Centrum!$D$3:$M$130,10,0),Centrum!$A$3:$CB$130,H$132,0))</f>
        <v>4</v>
      </c>
      <c r="I23" s="333">
        <f ca="1">IF($A23="","",VLOOKUP(VLOOKUP($A23,Centrum!$D$3:$M$130,10,0),Centrum!$A$3:$CB$130,I$132,0))</f>
        <v>0</v>
      </c>
      <c r="J23" s="333">
        <f ca="1">IF(OR($A23="",TYPE(VLOOKUP($A23,Centrum!$D$3:$M$130,10,0))&gt;3),"",VLOOKUP(VLOOKUP($A23,Centrum!$D$3:$M$130,10,0),Centrum!$A$3:$CB$130,J$132,0))</f>
        <v>-1</v>
      </c>
      <c r="L23" s="333">
        <f ca="1">IF(OR($A23="",TYPE(VLOOKUP($A23,Centrum!$D$3:$M$130,10,0))&gt;3),"",VLOOKUP(VLOOKUP($A23,Centrum!$D$3:$M$130,10,0),Centrum!$A$3:$CB$130,L$132,0))</f>
        <v>49</v>
      </c>
      <c r="M23" s="333">
        <f ca="1">IF(OR($A23="",TYPE(VLOOKUP($A23,Centrum!$D$3:$M$130,10,0))&gt;3),"",VLOOKUP(VLOOKUP($A23,Centrum!$D$3:$M$130,10,0),Centrum!$A$3:$CB$130,M$132,0))</f>
        <v>5</v>
      </c>
      <c r="N23" s="333">
        <f ca="1">IF(OR($A23="",TYPE(VLOOKUP($A23,Centrum!$D$3:$M$130,10,0))&gt;3),"",VLOOKUP(VLOOKUP($A23,Centrum!$D$3:$M$130,10,0),Centrum!$A$3:$CB$130,N$132,0))</f>
        <v>43</v>
      </c>
      <c r="O23" s="333">
        <f ca="1">IF(OR($A23="",TYPE(VLOOKUP($A23,Centrum!$D$3:$M$130,10,0))&gt;3),"",VLOOKUP(VLOOKUP($A23,Centrum!$D$3:$M$130,10,0),Centrum!$A$3:$CB$130,O$132,0))</f>
        <v>22</v>
      </c>
      <c r="P23" s="333">
        <f ca="1">IF(OR($A23="",TYPE(VLOOKUP($A23,Centrum!$D$3:$M$130,10,0))&gt;3),"",VLOOKUP(VLOOKUP($A23,Centrum!$D$3:$M$130,10,0),Centrum!$A$3:$CB$130,P$132,0))</f>
        <v>0</v>
      </c>
      <c r="Q23" s="333">
        <f ca="1">IF(OR($A23="",TYPE(VLOOKUP($A23,Centrum!$D$3:$M$130,10,0))&gt;3),"",VLOOKUP(VLOOKUP($A23,Centrum!$D$3:$M$130,10,0),Centrum!$A$3:$CB$130,Q$132,0))</f>
        <v>0</v>
      </c>
      <c r="S23" s="333">
        <f ca="1">IF(OR($A23="",TYPE(VLOOKUP($A23,Centrum!$D$3:$M$130,10,0))&gt;3),"",VLOOKUP(VLOOKUP($A23,Centrum!$D$3:$M$130,10,0),Centrum!$A$3:$CB$130,S$132,0))</f>
        <v>49</v>
      </c>
      <c r="T23" s="333">
        <f ca="1">IF(OR($A23="",TYPE(VLOOKUP($A23,Centrum!$D$3:$M$130,10,0))&gt;3),"",VLOOKUP(VLOOKUP($A23,Centrum!$D$3:$M$130,10,0),Centrum!$A$3:$CB$130,T$132,0))</f>
        <v>1</v>
      </c>
      <c r="U23" s="333">
        <f ca="1">IF(OR($A23="",TYPE(VLOOKUP($A23,Centrum!$D$3:$M$130,10,0))&gt;3),"",VLOOKUP(VLOOKUP($A23,Centrum!$D$3:$M$130,10,0),Centrum!$A$3:$CB$130,U$132,0))</f>
        <v>6</v>
      </c>
      <c r="AB23" s="333">
        <f ca="1">IF(OR($A23="",TYPE(VLOOKUP($A23,Centrum!$D$3:$M$130,10,0))&gt;3),"",VLOOKUP(VLOOKUP($A23,Centrum!$D$3:$M$130,10,0),Centrum!$A$3:$CB$130,AB$132,0))</f>
        <v>5</v>
      </c>
      <c r="AC23" s="333">
        <f ca="1">IF(OR($A23="",TYPE(VLOOKUP($A23,Centrum!$D$3:$M$130,10,0))&gt;3),"",VLOOKUP(VLOOKUP($A23,Centrum!$D$3:$M$130,10,0),Centrum!$A$3:$CB$130,AC$132,0))</f>
        <v>1</v>
      </c>
      <c r="AD23" s="333">
        <f ca="1">IF(OR($A23="",TYPE(VLOOKUP($A23,Centrum!$D$3:$M$130,10,0))&gt;3),"",VLOOKUP(VLOOKUP($A23,Centrum!$D$3:$M$130,10,0),Centrum!$A$3:$CB$130,AD$132,0))</f>
        <v>12</v>
      </c>
      <c r="AK23" s="333">
        <f ca="1">IF(OR($A23="",TYPE(VLOOKUP($A23,Centrum!$D$3:$M$130,10,0))&gt;3),"",VLOOKUP(VLOOKUP($A23,Centrum!$D$3:$M$130,10,0),Centrum!$A$3:$CB$130,AK$132,0))</f>
        <v>43</v>
      </c>
      <c r="AL23" s="333">
        <f ca="1">IF(OR($A23="",TYPE(VLOOKUP($A23,Centrum!$D$3:$M$130,10,0))&gt;3),"",VLOOKUP(VLOOKUP($A23,Centrum!$D$3:$M$130,10,0),Centrum!$A$3:$CB$130,AL$132,0))</f>
        <v>0</v>
      </c>
      <c r="AM23" s="333">
        <f ca="1">IF(OR($A23="",TYPE(VLOOKUP($A23,Centrum!$D$3:$M$130,10,0))&gt;3),"",VLOOKUP(VLOOKUP($A23,Centrum!$D$3:$M$130,10,0),Centrum!$A$3:$CB$130,AM$132,0))</f>
        <v>-13</v>
      </c>
      <c r="AT23" s="333">
        <f ca="1">IF(OR(OR($A23="",TYPE(VLOOKUP($A23,Centrum!$D$3:$M$130,10,0))&gt;3),$A$1&lt;4),"",VLOOKUP(VLOOKUP($A23,Centrum!$D$3:$M$130,10,0),Centrum!$A$3:$CB$130,AT$132,0))</f>
        <v>22</v>
      </c>
      <c r="AU23" s="333">
        <f ca="1">IF(OR(OR($A23="",TYPE(VLOOKUP($A23,Centrum!$D$3:$M$130,10,0))&gt;3),$A$1&lt;4),"",VLOOKUP(VLOOKUP($A23,Centrum!$D$3:$M$130,10,0),Centrum!$A$3:$CB$130,AU$132,0))</f>
        <v>0</v>
      </c>
      <c r="AV23" s="333">
        <f ca="1">IF(OR(OR($A23="",TYPE(VLOOKUP($A23,Centrum!$D$3:$M$130,10,0))&gt;3),$A$1&lt;4),"",VLOOKUP(VLOOKUP($A23,Centrum!$D$3:$M$130,10,0),Centrum!$A$3:$CB$130,AV$132,0))</f>
        <v>-6</v>
      </c>
      <c r="BC23" s="333" t="str">
        <f>IF(OR(OR($A23="",TYPE(VLOOKUP($A23,Centrum!$D$3:$M$130,10,0))&gt;3),$A$1&lt;5),"",VLOOKUP(VLOOKUP($A23,Centrum!$D$3:$M$130,10,0),Centrum!$A$3:$CB$130,BC$132,0))</f>
        <v/>
      </c>
      <c r="BD23" s="333" t="str">
        <f>IF(OR(OR($A23="",TYPE(VLOOKUP($A23,Centrum!$D$3:$M$130,10,0))&gt;3),$A$1&lt;5),"",VLOOKUP(VLOOKUP($A23,Centrum!$D$3:$M$130,10,0),Centrum!$A$3:$CB$130,BD$132,0))</f>
        <v/>
      </c>
      <c r="BE23" s="333" t="str">
        <f>IF(OR(OR($A23="",TYPE(VLOOKUP($A23,Centrum!$D$3:$M$130,10,0))&gt;3),$A$1&lt;5),"",VLOOKUP(VLOOKUP($A23,Centrum!$D$3:$M$130,10,0),Centrum!$A$3:$CB$130,BE$132,0))</f>
        <v/>
      </c>
      <c r="BL23" s="333" t="str">
        <f>IF(OR(OR($A23="",TYPE(VLOOKUP($A23,Centrum!$D$3:$M$130,10,0))&gt;3),$A$1&lt;6),"",VLOOKUP(VLOOKUP($A23,Centrum!$D$3:$M$130,10,0),Centrum!$A$3:$CB$130,BL$132,0))</f>
        <v/>
      </c>
      <c r="BM23" s="333" t="str">
        <f>IF(OR(OR($A23="",TYPE(VLOOKUP($A23,Centrum!$D$3:$M$130,10,0))&gt;3),$A$1&lt;6),"",VLOOKUP(VLOOKUP($A23,Centrum!$D$3:$M$130,10,0),Centrum!$A$3:$CB$130,BM$132,0))</f>
        <v/>
      </c>
      <c r="BN23" s="333" t="str">
        <f>IF(OR(OR($A23="",TYPE(VLOOKUP($A23,Centrum!$D$3:$M$130,10,0))&gt;3),$A$1&lt;6),"",VLOOKUP(VLOOKUP($A23,Centrum!$D$3:$M$130,10,0),Centrum!$A$3:$CB$130,BN$132,0))</f>
        <v/>
      </c>
    </row>
    <row r="24" spans="1:66" x14ac:dyDescent="0.25">
      <c r="A24" s="333">
        <f>Centrum!A24</f>
        <v>22</v>
      </c>
      <c r="B24" s="439" t="str">
        <f>IF(OR($A24="",TYPE(VLOOKUP($A24,Centrum!$D$3:$M$130,10,0))&gt;3),"",VLOOKUP(VLOOKUP(A24,Centrum!$D$3:$M$130,10,0),Centrum!$A$3:$CB$130,B$132,0))</f>
        <v>21 JAPKO - Kubík Jaroslav</v>
      </c>
      <c r="C24" s="333">
        <f>IF(OR($A24="",TYPE(VLOOKUP($A24,Centrum!$D$3:$M$130,10,0))&gt;3),"",VLOOKUP($A24,Centrum!$D$3:$M$130,10,0))</f>
        <v>21</v>
      </c>
      <c r="E24" s="333">
        <f ca="1">IF(OR($A24="",TYPE(VLOOKUP($A24,Centrum!$D$3:$M$130,10,0))&gt;3),"",VLOOKUP(VLOOKUP($A24,Centrum!$D$3:$M$130,10,0),Centrum!$A$3:$CB$130,E$132,0))</f>
        <v>2</v>
      </c>
      <c r="F24" s="333">
        <f ca="1">IF(OR($A24="",TYPE(VLOOKUP($A24,Centrum!$D$3:$M$130,10,0))&gt;3),"",VLOOKUP(VLOOKUP($A24,Centrum!$D$3:$M$130,10,0),Centrum!$A$3:$CB$130,F$132,0))</f>
        <v>9</v>
      </c>
      <c r="G24" s="333">
        <f ca="1">IF(OR($A24="",TYPE(VLOOKUP($A24,Centrum!$D$3:$M$130,10,0))&gt;3),"",VLOOKUP(VLOOKUP($A24,Centrum!$D$3:$M$130,10,0),Centrum!$A$3:$CB$130,G$132,0))</f>
        <v>33</v>
      </c>
      <c r="H24" s="333">
        <f ca="1">IF($A24="","",VLOOKUP(VLOOKUP($A24,Centrum!$D$3:$M$130,10,0),Centrum!$A$3:$CB$130,H$132,0))</f>
        <v>3</v>
      </c>
      <c r="I24" s="333">
        <f ca="1">IF($A24="","",VLOOKUP(VLOOKUP($A24,Centrum!$D$3:$M$130,10,0),Centrum!$A$3:$CB$130,I$132,0))</f>
        <v>0</v>
      </c>
      <c r="J24" s="333">
        <f ca="1">IF(OR($A24="",TYPE(VLOOKUP($A24,Centrum!$D$3:$M$130,10,0))&gt;3),"",VLOOKUP(VLOOKUP($A24,Centrum!$D$3:$M$130,10,0),Centrum!$A$3:$CB$130,J$132,0))</f>
        <v>5</v>
      </c>
      <c r="L24" s="333">
        <f ca="1">IF(OR($A24="",TYPE(VLOOKUP($A24,Centrum!$D$3:$M$130,10,0))&gt;3),"",VLOOKUP(VLOOKUP($A24,Centrum!$D$3:$M$130,10,0),Centrum!$A$3:$CB$130,L$132,0))</f>
        <v>46</v>
      </c>
      <c r="M24" s="333">
        <f ca="1">IF(OR($A24="",TYPE(VLOOKUP($A24,Centrum!$D$3:$M$130,10,0))&gt;3),"",VLOOKUP(VLOOKUP($A24,Centrum!$D$3:$M$130,10,0),Centrum!$A$3:$CB$130,M$132,0))</f>
        <v>19</v>
      </c>
      <c r="N24" s="333">
        <f ca="1">IF(OR($A24="",TYPE(VLOOKUP($A24,Centrum!$D$3:$M$130,10,0))&gt;3),"",VLOOKUP(VLOOKUP($A24,Centrum!$D$3:$M$130,10,0),Centrum!$A$3:$CB$130,N$132,0))</f>
        <v>51</v>
      </c>
      <c r="O24" s="333">
        <f ca="1">IF(OR($A24="",TYPE(VLOOKUP($A24,Centrum!$D$3:$M$130,10,0))&gt;3),"",VLOOKUP(VLOOKUP($A24,Centrum!$D$3:$M$130,10,0),Centrum!$A$3:$CB$130,O$132,0))</f>
        <v>9</v>
      </c>
      <c r="P24" s="333">
        <f ca="1">IF(OR($A24="",TYPE(VLOOKUP($A24,Centrum!$D$3:$M$130,10,0))&gt;3),"",VLOOKUP(VLOOKUP($A24,Centrum!$D$3:$M$130,10,0),Centrum!$A$3:$CB$130,P$132,0))</f>
        <v>0</v>
      </c>
      <c r="Q24" s="333">
        <f ca="1">IF(OR($A24="",TYPE(VLOOKUP($A24,Centrum!$D$3:$M$130,10,0))&gt;3),"",VLOOKUP(VLOOKUP($A24,Centrum!$D$3:$M$130,10,0),Centrum!$A$3:$CB$130,Q$132,0))</f>
        <v>0</v>
      </c>
      <c r="S24" s="333">
        <f ca="1">IF(OR($A24="",TYPE(VLOOKUP($A24,Centrum!$D$3:$M$130,10,0))&gt;3),"",VLOOKUP(VLOOKUP($A24,Centrum!$D$3:$M$130,10,0),Centrum!$A$3:$CB$130,S$132,0))</f>
        <v>46</v>
      </c>
      <c r="T24" s="333">
        <f ca="1">IF(OR($A24="",TYPE(VLOOKUP($A24,Centrum!$D$3:$M$130,10,0))&gt;3),"",VLOOKUP(VLOOKUP($A24,Centrum!$D$3:$M$130,10,0),Centrum!$A$3:$CB$130,T$132,0))</f>
        <v>1</v>
      </c>
      <c r="U24" s="333">
        <f ca="1">IF(OR($A24="",TYPE(VLOOKUP($A24,Centrum!$D$3:$M$130,10,0))&gt;3),"",VLOOKUP(VLOOKUP($A24,Centrum!$D$3:$M$130,10,0),Centrum!$A$3:$CB$130,U$132,0))</f>
        <v>6</v>
      </c>
      <c r="AB24" s="333">
        <f ca="1">IF(OR($A24="",TYPE(VLOOKUP($A24,Centrum!$D$3:$M$130,10,0))&gt;3),"",VLOOKUP(VLOOKUP($A24,Centrum!$D$3:$M$130,10,0),Centrum!$A$3:$CB$130,AB$132,0))</f>
        <v>19</v>
      </c>
      <c r="AC24" s="333">
        <f ca="1">IF(OR($A24="",TYPE(VLOOKUP($A24,Centrum!$D$3:$M$130,10,0))&gt;3),"",VLOOKUP(VLOOKUP($A24,Centrum!$D$3:$M$130,10,0),Centrum!$A$3:$CB$130,AC$132,0))</f>
        <v>0</v>
      </c>
      <c r="AD24" s="333">
        <f ca="1">IF(OR($A24="",TYPE(VLOOKUP($A24,Centrum!$D$3:$M$130,10,0))&gt;3),"",VLOOKUP(VLOOKUP($A24,Centrum!$D$3:$M$130,10,0),Centrum!$A$3:$CB$130,AD$132,0))</f>
        <v>-5</v>
      </c>
      <c r="AK24" s="333">
        <f ca="1">IF(OR($A24="",TYPE(VLOOKUP($A24,Centrum!$D$3:$M$130,10,0))&gt;3),"",VLOOKUP(VLOOKUP($A24,Centrum!$D$3:$M$130,10,0),Centrum!$A$3:$CB$130,AK$132,0))</f>
        <v>51</v>
      </c>
      <c r="AL24" s="333">
        <f ca="1">IF(OR($A24="",TYPE(VLOOKUP($A24,Centrum!$D$3:$M$130,10,0))&gt;3),"",VLOOKUP(VLOOKUP($A24,Centrum!$D$3:$M$130,10,0),Centrum!$A$3:$CB$130,AL$132,0))</f>
        <v>1</v>
      </c>
      <c r="AM24" s="333">
        <f ca="1">IF(OR($A24="",TYPE(VLOOKUP($A24,Centrum!$D$3:$M$130,10,0))&gt;3),"",VLOOKUP(VLOOKUP($A24,Centrum!$D$3:$M$130,10,0),Centrum!$A$3:$CB$130,AM$132,0))</f>
        <v>11</v>
      </c>
      <c r="AT24" s="333">
        <f ca="1">IF(OR(OR($A24="",TYPE(VLOOKUP($A24,Centrum!$D$3:$M$130,10,0))&gt;3),$A$1&lt;4),"",VLOOKUP(VLOOKUP($A24,Centrum!$D$3:$M$130,10,0),Centrum!$A$3:$CB$130,AT$132,0))</f>
        <v>9</v>
      </c>
      <c r="AU24" s="333">
        <f ca="1">IF(OR(OR($A24="",TYPE(VLOOKUP($A24,Centrum!$D$3:$M$130,10,0))&gt;3),$A$1&lt;4),"",VLOOKUP(VLOOKUP($A24,Centrum!$D$3:$M$130,10,0),Centrum!$A$3:$CB$130,AU$132,0))</f>
        <v>0</v>
      </c>
      <c r="AV24" s="333">
        <f ca="1">IF(OR(OR($A24="",TYPE(VLOOKUP($A24,Centrum!$D$3:$M$130,10,0))&gt;3),$A$1&lt;4),"",VLOOKUP(VLOOKUP($A24,Centrum!$D$3:$M$130,10,0),Centrum!$A$3:$CB$130,AV$132,0))</f>
        <v>-7</v>
      </c>
      <c r="BC24" s="333" t="str">
        <f>IF(OR(OR($A24="",TYPE(VLOOKUP($A24,Centrum!$D$3:$M$130,10,0))&gt;3),$A$1&lt;5),"",VLOOKUP(VLOOKUP($A24,Centrum!$D$3:$M$130,10,0),Centrum!$A$3:$CB$130,BC$132,0))</f>
        <v/>
      </c>
      <c r="BD24" s="333" t="str">
        <f>IF(OR(OR($A24="",TYPE(VLOOKUP($A24,Centrum!$D$3:$M$130,10,0))&gt;3),$A$1&lt;5),"",VLOOKUP(VLOOKUP($A24,Centrum!$D$3:$M$130,10,0),Centrum!$A$3:$CB$130,BD$132,0))</f>
        <v/>
      </c>
      <c r="BE24" s="333" t="str">
        <f>IF(OR(OR($A24="",TYPE(VLOOKUP($A24,Centrum!$D$3:$M$130,10,0))&gt;3),$A$1&lt;5),"",VLOOKUP(VLOOKUP($A24,Centrum!$D$3:$M$130,10,0),Centrum!$A$3:$CB$130,BE$132,0))</f>
        <v/>
      </c>
      <c r="BL24" s="333" t="str">
        <f>IF(OR(OR($A24="",TYPE(VLOOKUP($A24,Centrum!$D$3:$M$130,10,0))&gt;3),$A$1&lt;6),"",VLOOKUP(VLOOKUP($A24,Centrum!$D$3:$M$130,10,0),Centrum!$A$3:$CB$130,BL$132,0))</f>
        <v/>
      </c>
      <c r="BM24" s="333" t="str">
        <f>IF(OR(OR($A24="",TYPE(VLOOKUP($A24,Centrum!$D$3:$M$130,10,0))&gt;3),$A$1&lt;6),"",VLOOKUP(VLOOKUP($A24,Centrum!$D$3:$M$130,10,0),Centrum!$A$3:$CB$130,BM$132,0))</f>
        <v/>
      </c>
      <c r="BN24" s="333" t="str">
        <f>IF(OR(OR($A24="",TYPE(VLOOKUP($A24,Centrum!$D$3:$M$130,10,0))&gt;3),$A$1&lt;6),"",VLOOKUP(VLOOKUP($A24,Centrum!$D$3:$M$130,10,0),Centrum!$A$3:$CB$130,BN$132,0))</f>
        <v/>
      </c>
    </row>
    <row r="25" spans="1:66" x14ac:dyDescent="0.25">
      <c r="A25" s="333">
        <f>Centrum!A25</f>
        <v>23</v>
      </c>
      <c r="B25" s="439" t="str">
        <f>IF(OR($A25="",TYPE(VLOOKUP($A25,Centrum!$D$3:$M$130,10,0))&gt;3),"",VLOOKUP(VLOOKUP(A25,Centrum!$D$3:$M$130,10,0),Centrum!$A$3:$CB$130,B$132,0))</f>
        <v>23 CdP Loděnice - Vedralová Kateřina</v>
      </c>
      <c r="C25" s="333">
        <f>IF(OR($A25="",TYPE(VLOOKUP($A25,Centrum!$D$3:$M$130,10,0))&gt;3),"",VLOOKUP($A25,Centrum!$D$3:$M$130,10,0))</f>
        <v>23</v>
      </c>
      <c r="E25" s="333">
        <f ca="1">IF(OR($A25="",TYPE(VLOOKUP($A25,Centrum!$D$3:$M$130,10,0))&gt;3),"",VLOOKUP(VLOOKUP($A25,Centrum!$D$3:$M$130,10,0),Centrum!$A$3:$CB$130,E$132,0))</f>
        <v>2</v>
      </c>
      <c r="F25" s="333">
        <f ca="1">IF(OR($A25="",TYPE(VLOOKUP($A25,Centrum!$D$3:$M$130,10,0))&gt;3),"",VLOOKUP(VLOOKUP($A25,Centrum!$D$3:$M$130,10,0),Centrum!$A$3:$CB$130,F$132,0))</f>
        <v>9</v>
      </c>
      <c r="G25" s="333">
        <f ca="1">IF(OR($A25="",TYPE(VLOOKUP($A25,Centrum!$D$3:$M$130,10,0))&gt;3),"",VLOOKUP(VLOOKUP($A25,Centrum!$D$3:$M$130,10,0),Centrum!$A$3:$CB$130,G$132,0))</f>
        <v>33</v>
      </c>
      <c r="H25" s="333">
        <f ca="1">IF($A25="","",VLOOKUP(VLOOKUP($A25,Centrum!$D$3:$M$130,10,0),Centrum!$A$3:$CB$130,H$132,0))</f>
        <v>2</v>
      </c>
      <c r="I25" s="333">
        <f ca="1">IF($A25="","",VLOOKUP(VLOOKUP($A25,Centrum!$D$3:$M$130,10,0),Centrum!$A$3:$CB$130,I$132,0))</f>
        <v>0</v>
      </c>
      <c r="J25" s="333">
        <f ca="1">IF(OR($A25="",TYPE(VLOOKUP($A25,Centrum!$D$3:$M$130,10,0))&gt;3),"",VLOOKUP(VLOOKUP($A25,Centrum!$D$3:$M$130,10,0),Centrum!$A$3:$CB$130,J$132,0))</f>
        <v>0</v>
      </c>
      <c r="L25" s="333">
        <f ca="1">IF(OR($A25="",TYPE(VLOOKUP($A25,Centrum!$D$3:$M$130,10,0))&gt;3),"",VLOOKUP(VLOOKUP($A25,Centrum!$D$3:$M$130,10,0),Centrum!$A$3:$CB$130,L$132,0))</f>
        <v>48</v>
      </c>
      <c r="M25" s="333">
        <f ca="1">IF(OR($A25="",TYPE(VLOOKUP($A25,Centrum!$D$3:$M$130,10,0))&gt;3),"",VLOOKUP(VLOOKUP($A25,Centrum!$D$3:$M$130,10,0),Centrum!$A$3:$CB$130,M$132,0))</f>
        <v>2</v>
      </c>
      <c r="N25" s="333">
        <f ca="1">IF(OR($A25="",TYPE(VLOOKUP($A25,Centrum!$D$3:$M$130,10,0))&gt;3),"",VLOOKUP(VLOOKUP($A25,Centrum!$D$3:$M$130,10,0),Centrum!$A$3:$CB$130,N$132,0))</f>
        <v>1</v>
      </c>
      <c r="O25" s="333">
        <f ca="1">IF(OR($A25="",TYPE(VLOOKUP($A25,Centrum!$D$3:$M$130,10,0))&gt;3),"",VLOOKUP(VLOOKUP($A25,Centrum!$D$3:$M$130,10,0),Centrum!$A$3:$CB$130,O$132,0))</f>
        <v>32</v>
      </c>
      <c r="P25" s="333">
        <f ca="1">IF(OR($A25="",TYPE(VLOOKUP($A25,Centrum!$D$3:$M$130,10,0))&gt;3),"",VLOOKUP(VLOOKUP($A25,Centrum!$D$3:$M$130,10,0),Centrum!$A$3:$CB$130,P$132,0))</f>
        <v>0</v>
      </c>
      <c r="Q25" s="333">
        <f ca="1">IF(OR($A25="",TYPE(VLOOKUP($A25,Centrum!$D$3:$M$130,10,0))&gt;3),"",VLOOKUP(VLOOKUP($A25,Centrum!$D$3:$M$130,10,0),Centrum!$A$3:$CB$130,Q$132,0))</f>
        <v>0</v>
      </c>
      <c r="S25" s="333">
        <f ca="1">IF(OR($A25="",TYPE(VLOOKUP($A25,Centrum!$D$3:$M$130,10,0))&gt;3),"",VLOOKUP(VLOOKUP($A25,Centrum!$D$3:$M$130,10,0),Centrum!$A$3:$CB$130,S$132,0))</f>
        <v>48</v>
      </c>
      <c r="T25" s="333">
        <f ca="1">IF(OR($A25="",TYPE(VLOOKUP($A25,Centrum!$D$3:$M$130,10,0))&gt;3),"",VLOOKUP(VLOOKUP($A25,Centrum!$D$3:$M$130,10,0),Centrum!$A$3:$CB$130,T$132,0))</f>
        <v>1</v>
      </c>
      <c r="U25" s="333">
        <f ca="1">IF(OR($A25="",TYPE(VLOOKUP($A25,Centrum!$D$3:$M$130,10,0))&gt;3),"",VLOOKUP(VLOOKUP($A25,Centrum!$D$3:$M$130,10,0),Centrum!$A$3:$CB$130,U$132,0))</f>
        <v>8</v>
      </c>
      <c r="AB25" s="333">
        <f ca="1">IF(OR($A25="",TYPE(VLOOKUP($A25,Centrum!$D$3:$M$130,10,0))&gt;3),"",VLOOKUP(VLOOKUP($A25,Centrum!$D$3:$M$130,10,0),Centrum!$A$3:$CB$130,AB$132,0))</f>
        <v>2</v>
      </c>
      <c r="AC25" s="333">
        <f ca="1">IF(OR($A25="",TYPE(VLOOKUP($A25,Centrum!$D$3:$M$130,10,0))&gt;3),"",VLOOKUP(VLOOKUP($A25,Centrum!$D$3:$M$130,10,0),Centrum!$A$3:$CB$130,AC$132,0))</f>
        <v>0</v>
      </c>
      <c r="AD25" s="333">
        <f ca="1">IF(OR($A25="",TYPE(VLOOKUP($A25,Centrum!$D$3:$M$130,10,0))&gt;3),"",VLOOKUP(VLOOKUP($A25,Centrum!$D$3:$M$130,10,0),Centrum!$A$3:$CB$130,AD$132,0))</f>
        <v>-9</v>
      </c>
      <c r="AK25" s="333">
        <f ca="1">IF(OR($A25="",TYPE(VLOOKUP($A25,Centrum!$D$3:$M$130,10,0))&gt;3),"",VLOOKUP(VLOOKUP($A25,Centrum!$D$3:$M$130,10,0),Centrum!$A$3:$CB$130,AK$132,0))</f>
        <v>1</v>
      </c>
      <c r="AL25" s="333">
        <f ca="1">IF(OR($A25="",TYPE(VLOOKUP($A25,Centrum!$D$3:$M$130,10,0))&gt;3),"",VLOOKUP(VLOOKUP($A25,Centrum!$D$3:$M$130,10,0),Centrum!$A$3:$CB$130,AL$132,0))</f>
        <v>0</v>
      </c>
      <c r="AM25" s="333">
        <f ca="1">IF(OR($A25="",TYPE(VLOOKUP($A25,Centrum!$D$3:$M$130,10,0))&gt;3),"",VLOOKUP(VLOOKUP($A25,Centrum!$D$3:$M$130,10,0),Centrum!$A$3:$CB$130,AM$132,0))</f>
        <v>-8</v>
      </c>
      <c r="AT25" s="333">
        <f ca="1">IF(OR(OR($A25="",TYPE(VLOOKUP($A25,Centrum!$D$3:$M$130,10,0))&gt;3),$A$1&lt;4),"",VLOOKUP(VLOOKUP($A25,Centrum!$D$3:$M$130,10,0),Centrum!$A$3:$CB$130,AT$132,0))</f>
        <v>32</v>
      </c>
      <c r="AU25" s="333">
        <f ca="1">IF(OR(OR($A25="",TYPE(VLOOKUP($A25,Centrum!$D$3:$M$130,10,0))&gt;3),$A$1&lt;4),"",VLOOKUP(VLOOKUP($A25,Centrum!$D$3:$M$130,10,0),Centrum!$A$3:$CB$130,AU$132,0))</f>
        <v>1</v>
      </c>
      <c r="AV25" s="333">
        <f ca="1">IF(OR(OR($A25="",TYPE(VLOOKUP($A25,Centrum!$D$3:$M$130,10,0))&gt;3),$A$1&lt;4),"",VLOOKUP(VLOOKUP($A25,Centrum!$D$3:$M$130,10,0),Centrum!$A$3:$CB$130,AV$132,0))</f>
        <v>9</v>
      </c>
      <c r="BC25" s="333" t="str">
        <f>IF(OR(OR($A25="",TYPE(VLOOKUP($A25,Centrum!$D$3:$M$130,10,0))&gt;3),$A$1&lt;5),"",VLOOKUP(VLOOKUP($A25,Centrum!$D$3:$M$130,10,0),Centrum!$A$3:$CB$130,BC$132,0))</f>
        <v/>
      </c>
      <c r="BD25" s="333" t="str">
        <f>IF(OR(OR($A25="",TYPE(VLOOKUP($A25,Centrum!$D$3:$M$130,10,0))&gt;3),$A$1&lt;5),"",VLOOKUP(VLOOKUP($A25,Centrum!$D$3:$M$130,10,0),Centrum!$A$3:$CB$130,BD$132,0))</f>
        <v/>
      </c>
      <c r="BE25" s="333" t="str">
        <f>IF(OR(OR($A25="",TYPE(VLOOKUP($A25,Centrum!$D$3:$M$130,10,0))&gt;3),$A$1&lt;5),"",VLOOKUP(VLOOKUP($A25,Centrum!$D$3:$M$130,10,0),Centrum!$A$3:$CB$130,BE$132,0))</f>
        <v/>
      </c>
      <c r="BL25" s="333" t="str">
        <f>IF(OR(OR($A25="",TYPE(VLOOKUP($A25,Centrum!$D$3:$M$130,10,0))&gt;3),$A$1&lt;6),"",VLOOKUP(VLOOKUP($A25,Centrum!$D$3:$M$130,10,0),Centrum!$A$3:$CB$130,BL$132,0))</f>
        <v/>
      </c>
      <c r="BM25" s="333" t="str">
        <f>IF(OR(OR($A25="",TYPE(VLOOKUP($A25,Centrum!$D$3:$M$130,10,0))&gt;3),$A$1&lt;6),"",VLOOKUP(VLOOKUP($A25,Centrum!$D$3:$M$130,10,0),Centrum!$A$3:$CB$130,BM$132,0))</f>
        <v/>
      </c>
      <c r="BN25" s="333" t="str">
        <f>IF(OR(OR($A25="",TYPE(VLOOKUP($A25,Centrum!$D$3:$M$130,10,0))&gt;3),$A$1&lt;6),"",VLOOKUP(VLOOKUP($A25,Centrum!$D$3:$M$130,10,0),Centrum!$A$3:$CB$130,BN$132,0))</f>
        <v/>
      </c>
    </row>
    <row r="26" spans="1:66" x14ac:dyDescent="0.25">
      <c r="A26" s="333">
        <f>Centrum!A26</f>
        <v>24</v>
      </c>
      <c r="B26" s="439" t="str">
        <f>IF(OR($A26="",TYPE(VLOOKUP($A26,Centrum!$D$3:$M$130,10,0))&gt;3),"",VLOOKUP(VLOOKUP(A26,Centrum!$D$3:$M$130,10,0),Centrum!$A$3:$CB$130,B$132,0))</f>
        <v>49 SK Španielka Řepy - Řezník Alois</v>
      </c>
      <c r="C26" s="333">
        <f>IF(OR($A26="",TYPE(VLOOKUP($A26,Centrum!$D$3:$M$130,10,0))&gt;3),"",VLOOKUP($A26,Centrum!$D$3:$M$130,10,0))</f>
        <v>49</v>
      </c>
      <c r="E26" s="333">
        <f ca="1">IF(OR($A26="",TYPE(VLOOKUP($A26,Centrum!$D$3:$M$130,10,0))&gt;3),"",VLOOKUP(VLOOKUP($A26,Centrum!$D$3:$M$130,10,0),Centrum!$A$3:$CB$130,E$132,0))</f>
        <v>2</v>
      </c>
      <c r="F26" s="333">
        <f ca="1">IF(OR($A26="",TYPE(VLOOKUP($A26,Centrum!$D$3:$M$130,10,0))&gt;3),"",VLOOKUP(VLOOKUP($A26,Centrum!$D$3:$M$130,10,0),Centrum!$A$3:$CB$130,F$132,0))</f>
        <v>9</v>
      </c>
      <c r="G26" s="333">
        <f ca="1">IF(OR($A26="",TYPE(VLOOKUP($A26,Centrum!$D$3:$M$130,10,0))&gt;3),"",VLOOKUP(VLOOKUP($A26,Centrum!$D$3:$M$130,10,0),Centrum!$A$3:$CB$130,G$132,0))</f>
        <v>30</v>
      </c>
      <c r="H26" s="333">
        <f ca="1">IF($A26="","",VLOOKUP(VLOOKUP($A26,Centrum!$D$3:$M$130,10,0),Centrum!$A$3:$CB$130,H$132,0))</f>
        <v>4</v>
      </c>
      <c r="I26" s="333">
        <f ca="1">IF($A26="","",VLOOKUP(VLOOKUP($A26,Centrum!$D$3:$M$130,10,0),Centrum!$A$3:$CB$130,I$132,0))</f>
        <v>2</v>
      </c>
      <c r="J26" s="333">
        <f ca="1">IF(OR($A26="",TYPE(VLOOKUP($A26,Centrum!$D$3:$M$130,10,0))&gt;3),"",VLOOKUP(VLOOKUP($A26,Centrum!$D$3:$M$130,10,0),Centrum!$A$3:$CB$130,J$132,0))</f>
        <v>-14</v>
      </c>
      <c r="L26" s="333">
        <f ca="1">IF(OR($A26="",TYPE(VLOOKUP($A26,Centrum!$D$3:$M$130,10,0))&gt;3),"",VLOOKUP(VLOOKUP($A26,Centrum!$D$3:$M$130,10,0),Centrum!$A$3:$CB$130,L$132,0))</f>
        <v>24</v>
      </c>
      <c r="M26" s="333">
        <f ca="1">IF(OR($A26="",TYPE(VLOOKUP($A26,Centrum!$D$3:$M$130,10,0))&gt;3),"",VLOOKUP(VLOOKUP($A26,Centrum!$D$3:$M$130,10,0),Centrum!$A$3:$CB$130,M$132,0))</f>
        <v>18</v>
      </c>
      <c r="N26" s="333">
        <f ca="1">IF(OR($A26="",TYPE(VLOOKUP($A26,Centrum!$D$3:$M$130,10,0))&gt;3),"",VLOOKUP(VLOOKUP($A26,Centrum!$D$3:$M$130,10,0),Centrum!$A$3:$CB$130,N$132,0))</f>
        <v>17</v>
      </c>
      <c r="O26" s="333">
        <f ca="1">IF(OR($A26="",TYPE(VLOOKUP($A26,Centrum!$D$3:$M$130,10,0))&gt;3),"",VLOOKUP(VLOOKUP($A26,Centrum!$D$3:$M$130,10,0),Centrum!$A$3:$CB$130,O$132,0))</f>
        <v>10</v>
      </c>
      <c r="P26" s="333">
        <f ca="1">IF(OR($A26="",TYPE(VLOOKUP($A26,Centrum!$D$3:$M$130,10,0))&gt;3),"",VLOOKUP(VLOOKUP($A26,Centrum!$D$3:$M$130,10,0),Centrum!$A$3:$CB$130,P$132,0))</f>
        <v>0</v>
      </c>
      <c r="Q26" s="333">
        <f ca="1">IF(OR($A26="",TYPE(VLOOKUP($A26,Centrum!$D$3:$M$130,10,0))&gt;3),"",VLOOKUP(VLOOKUP($A26,Centrum!$D$3:$M$130,10,0),Centrum!$A$3:$CB$130,Q$132,0))</f>
        <v>0</v>
      </c>
      <c r="S26" s="333">
        <f ca="1">IF(OR($A26="",TYPE(VLOOKUP($A26,Centrum!$D$3:$M$130,10,0))&gt;3),"",VLOOKUP(VLOOKUP($A26,Centrum!$D$3:$M$130,10,0),Centrum!$A$3:$CB$130,S$132,0))</f>
        <v>24</v>
      </c>
      <c r="T26" s="333">
        <f ca="1">IF(OR($A26="",TYPE(VLOOKUP($A26,Centrum!$D$3:$M$130,10,0))&gt;3),"",VLOOKUP(VLOOKUP($A26,Centrum!$D$3:$M$130,10,0),Centrum!$A$3:$CB$130,T$132,0))</f>
        <v>0</v>
      </c>
      <c r="U26" s="333">
        <f ca="1">IF(OR($A26="",TYPE(VLOOKUP($A26,Centrum!$D$3:$M$130,10,0))&gt;3),"",VLOOKUP(VLOOKUP($A26,Centrum!$D$3:$M$130,10,0),Centrum!$A$3:$CB$130,U$132,0))</f>
        <v>-6</v>
      </c>
      <c r="AB26" s="333">
        <f ca="1">IF(OR($A26="",TYPE(VLOOKUP($A26,Centrum!$D$3:$M$130,10,0))&gt;3),"",VLOOKUP(VLOOKUP($A26,Centrum!$D$3:$M$130,10,0),Centrum!$A$3:$CB$130,AB$132,0))</f>
        <v>18</v>
      </c>
      <c r="AC26" s="333">
        <f ca="1">IF(OR($A26="",TYPE(VLOOKUP($A26,Centrum!$D$3:$M$130,10,0))&gt;3),"",VLOOKUP(VLOOKUP($A26,Centrum!$D$3:$M$130,10,0),Centrum!$A$3:$CB$130,AC$132,0))</f>
        <v>1</v>
      </c>
      <c r="AD26" s="333">
        <f ca="1">IF(OR($A26="",TYPE(VLOOKUP($A26,Centrum!$D$3:$M$130,10,0))&gt;3),"",VLOOKUP(VLOOKUP($A26,Centrum!$D$3:$M$130,10,0),Centrum!$A$3:$CB$130,AD$132,0))</f>
        <v>1</v>
      </c>
      <c r="AK26" s="333">
        <f ca="1">IF(OR($A26="",TYPE(VLOOKUP($A26,Centrum!$D$3:$M$130,10,0))&gt;3),"",VLOOKUP(VLOOKUP($A26,Centrum!$D$3:$M$130,10,0),Centrum!$A$3:$CB$130,AK$132,0))</f>
        <v>17</v>
      </c>
      <c r="AL26" s="333">
        <f ca="1">IF(OR($A26="",TYPE(VLOOKUP($A26,Centrum!$D$3:$M$130,10,0))&gt;3),"",VLOOKUP(VLOOKUP($A26,Centrum!$D$3:$M$130,10,0),Centrum!$A$3:$CB$130,AL$132,0))</f>
        <v>1</v>
      </c>
      <c r="AM26" s="333">
        <f ca="1">IF(OR($A26="",TYPE(VLOOKUP($A26,Centrum!$D$3:$M$130,10,0))&gt;3),"",VLOOKUP(VLOOKUP($A26,Centrum!$D$3:$M$130,10,0),Centrum!$A$3:$CB$130,AM$132,0))</f>
        <v>2</v>
      </c>
      <c r="AT26" s="333">
        <f ca="1">IF(OR(OR($A26="",TYPE(VLOOKUP($A26,Centrum!$D$3:$M$130,10,0))&gt;3),$A$1&lt;4),"",VLOOKUP(VLOOKUP($A26,Centrum!$D$3:$M$130,10,0),Centrum!$A$3:$CB$130,AT$132,0))</f>
        <v>10</v>
      </c>
      <c r="AU26" s="333">
        <f ca="1">IF(OR(OR($A26="",TYPE(VLOOKUP($A26,Centrum!$D$3:$M$130,10,0))&gt;3),$A$1&lt;4),"",VLOOKUP(VLOOKUP($A26,Centrum!$D$3:$M$130,10,0),Centrum!$A$3:$CB$130,AU$132,0))</f>
        <v>0</v>
      </c>
      <c r="AV26" s="333">
        <f ca="1">IF(OR(OR($A26="",TYPE(VLOOKUP($A26,Centrum!$D$3:$M$130,10,0))&gt;3),$A$1&lt;4),"",VLOOKUP(VLOOKUP($A26,Centrum!$D$3:$M$130,10,0),Centrum!$A$3:$CB$130,AV$132,0))</f>
        <v>-11</v>
      </c>
      <c r="BC26" s="333" t="str">
        <f>IF(OR(OR($A26="",TYPE(VLOOKUP($A26,Centrum!$D$3:$M$130,10,0))&gt;3),$A$1&lt;5),"",VLOOKUP(VLOOKUP($A26,Centrum!$D$3:$M$130,10,0),Centrum!$A$3:$CB$130,BC$132,0))</f>
        <v/>
      </c>
      <c r="BD26" s="333" t="str">
        <f>IF(OR(OR($A26="",TYPE(VLOOKUP($A26,Centrum!$D$3:$M$130,10,0))&gt;3),$A$1&lt;5),"",VLOOKUP(VLOOKUP($A26,Centrum!$D$3:$M$130,10,0),Centrum!$A$3:$CB$130,BD$132,0))</f>
        <v/>
      </c>
      <c r="BE26" s="333" t="str">
        <f>IF(OR(OR($A26="",TYPE(VLOOKUP($A26,Centrum!$D$3:$M$130,10,0))&gt;3),$A$1&lt;5),"",VLOOKUP(VLOOKUP($A26,Centrum!$D$3:$M$130,10,0),Centrum!$A$3:$CB$130,BE$132,0))</f>
        <v/>
      </c>
      <c r="BL26" s="333" t="str">
        <f>IF(OR(OR($A26="",TYPE(VLOOKUP($A26,Centrum!$D$3:$M$130,10,0))&gt;3),$A$1&lt;6),"",VLOOKUP(VLOOKUP($A26,Centrum!$D$3:$M$130,10,0),Centrum!$A$3:$CB$130,BL$132,0))</f>
        <v/>
      </c>
      <c r="BM26" s="333" t="str">
        <f>IF(OR(OR($A26="",TYPE(VLOOKUP($A26,Centrum!$D$3:$M$130,10,0))&gt;3),$A$1&lt;6),"",VLOOKUP(VLOOKUP($A26,Centrum!$D$3:$M$130,10,0),Centrum!$A$3:$CB$130,BM$132,0))</f>
        <v/>
      </c>
      <c r="BN26" s="333" t="str">
        <f>IF(OR(OR($A26="",TYPE(VLOOKUP($A26,Centrum!$D$3:$M$130,10,0))&gt;3),$A$1&lt;6),"",VLOOKUP(VLOOKUP($A26,Centrum!$D$3:$M$130,10,0),Centrum!$A$3:$CB$130,BN$132,0))</f>
        <v/>
      </c>
    </row>
    <row r="27" spans="1:66" x14ac:dyDescent="0.25">
      <c r="A27" s="333">
        <f>Centrum!A27</f>
        <v>25</v>
      </c>
      <c r="B27" s="439" t="str">
        <f>IF(OR($A27="",TYPE(VLOOKUP($A27,Centrum!$D$3:$M$130,10,0))&gt;3),"",VLOOKUP(VLOOKUP(A27,Centrum!$D$3:$M$130,10,0),Centrum!$A$3:$CB$130,B$132,0))</f>
        <v>13 PC Sokol Lipník - Fafková Jana</v>
      </c>
      <c r="C27" s="333">
        <f>IF(OR($A27="",TYPE(VLOOKUP($A27,Centrum!$D$3:$M$130,10,0))&gt;3),"",VLOOKUP($A27,Centrum!$D$3:$M$130,10,0))</f>
        <v>13</v>
      </c>
      <c r="E27" s="333">
        <f ca="1">IF(OR($A27="",TYPE(VLOOKUP($A27,Centrum!$D$3:$M$130,10,0))&gt;3),"",VLOOKUP(VLOOKUP($A27,Centrum!$D$3:$M$130,10,0),Centrum!$A$3:$CB$130,E$132,0))</f>
        <v>2</v>
      </c>
      <c r="F27" s="333">
        <f ca="1">IF(OR($A27="",TYPE(VLOOKUP($A27,Centrum!$D$3:$M$130,10,0))&gt;3),"",VLOOKUP(VLOOKUP($A27,Centrum!$D$3:$M$130,10,0),Centrum!$A$3:$CB$130,F$132,0))</f>
        <v>9</v>
      </c>
      <c r="G27" s="333">
        <f ca="1">IF(OR($A27="",TYPE(VLOOKUP($A27,Centrum!$D$3:$M$130,10,0))&gt;3),"",VLOOKUP(VLOOKUP($A27,Centrum!$D$3:$M$130,10,0),Centrum!$A$3:$CB$130,G$132,0))</f>
        <v>28</v>
      </c>
      <c r="H27" s="333">
        <f ca="1">IF($A27="","",VLOOKUP(VLOOKUP($A27,Centrum!$D$3:$M$130,10,0),Centrum!$A$3:$CB$130,H$132,0))</f>
        <v>3</v>
      </c>
      <c r="I27" s="333">
        <f ca="1">IF($A27="","",VLOOKUP(VLOOKUP($A27,Centrum!$D$3:$M$130,10,0),Centrum!$A$3:$CB$130,I$132,0))</f>
        <v>0</v>
      </c>
      <c r="J27" s="333">
        <f ca="1">IF(OR($A27="",TYPE(VLOOKUP($A27,Centrum!$D$3:$M$130,10,0))&gt;3),"",VLOOKUP(VLOOKUP($A27,Centrum!$D$3:$M$130,10,0),Centrum!$A$3:$CB$130,J$132,0))</f>
        <v>-18</v>
      </c>
      <c r="L27" s="333">
        <f ca="1">IF(OR($A27="",TYPE(VLOOKUP($A27,Centrum!$D$3:$M$130,10,0))&gt;3),"",VLOOKUP(VLOOKUP($A27,Centrum!$D$3:$M$130,10,0),Centrum!$A$3:$CB$130,L$132,0))</f>
        <v>38</v>
      </c>
      <c r="M27" s="333">
        <f ca="1">IF(OR($A27="",TYPE(VLOOKUP($A27,Centrum!$D$3:$M$130,10,0))&gt;3),"",VLOOKUP(VLOOKUP($A27,Centrum!$D$3:$M$130,10,0),Centrum!$A$3:$CB$130,M$132,0))</f>
        <v>3</v>
      </c>
      <c r="N27" s="333">
        <f ca="1">IF(OR($A27="",TYPE(VLOOKUP($A27,Centrum!$D$3:$M$130,10,0))&gt;3),"",VLOOKUP(VLOOKUP($A27,Centrum!$D$3:$M$130,10,0),Centrum!$A$3:$CB$130,N$132,0))</f>
        <v>29</v>
      </c>
      <c r="O27" s="333">
        <f ca="1">IF(OR($A27="",TYPE(VLOOKUP($A27,Centrum!$D$3:$M$130,10,0))&gt;3),"",VLOOKUP(VLOOKUP($A27,Centrum!$D$3:$M$130,10,0),Centrum!$A$3:$CB$130,O$132,0))</f>
        <v>44</v>
      </c>
      <c r="P27" s="333">
        <f ca="1">IF(OR($A27="",TYPE(VLOOKUP($A27,Centrum!$D$3:$M$130,10,0))&gt;3),"",VLOOKUP(VLOOKUP($A27,Centrum!$D$3:$M$130,10,0),Centrum!$A$3:$CB$130,P$132,0))</f>
        <v>0</v>
      </c>
      <c r="Q27" s="333">
        <f ca="1">IF(OR($A27="",TYPE(VLOOKUP($A27,Centrum!$D$3:$M$130,10,0))&gt;3),"",VLOOKUP(VLOOKUP($A27,Centrum!$D$3:$M$130,10,0),Centrum!$A$3:$CB$130,Q$132,0))</f>
        <v>0</v>
      </c>
      <c r="S27" s="333">
        <f ca="1">IF(OR($A27="",TYPE(VLOOKUP($A27,Centrum!$D$3:$M$130,10,0))&gt;3),"",VLOOKUP(VLOOKUP($A27,Centrum!$D$3:$M$130,10,0),Centrum!$A$3:$CB$130,S$132,0))</f>
        <v>38</v>
      </c>
      <c r="T27" s="333">
        <f ca="1">IF(OR($A27="",TYPE(VLOOKUP($A27,Centrum!$D$3:$M$130,10,0))&gt;3),"",VLOOKUP(VLOOKUP($A27,Centrum!$D$3:$M$130,10,0),Centrum!$A$3:$CB$130,T$132,0))</f>
        <v>1</v>
      </c>
      <c r="U27" s="333">
        <f ca="1">IF(OR($A27="",TYPE(VLOOKUP($A27,Centrum!$D$3:$M$130,10,0))&gt;3),"",VLOOKUP(VLOOKUP($A27,Centrum!$D$3:$M$130,10,0),Centrum!$A$3:$CB$130,U$132,0))</f>
        <v>4</v>
      </c>
      <c r="AB27" s="333">
        <f ca="1">IF(OR($A27="",TYPE(VLOOKUP($A27,Centrum!$D$3:$M$130,10,0))&gt;3),"",VLOOKUP(VLOOKUP($A27,Centrum!$D$3:$M$130,10,0),Centrum!$A$3:$CB$130,AB$132,0))</f>
        <v>3</v>
      </c>
      <c r="AC27" s="333">
        <f ca="1">IF(OR($A27="",TYPE(VLOOKUP($A27,Centrum!$D$3:$M$130,10,0))&gt;3),"",VLOOKUP(VLOOKUP($A27,Centrum!$D$3:$M$130,10,0),Centrum!$A$3:$CB$130,AC$132,0))</f>
        <v>0</v>
      </c>
      <c r="AD27" s="333">
        <f ca="1">IF(OR($A27="",TYPE(VLOOKUP($A27,Centrum!$D$3:$M$130,10,0))&gt;3),"",VLOOKUP(VLOOKUP($A27,Centrum!$D$3:$M$130,10,0),Centrum!$A$3:$CB$130,AD$132,0))</f>
        <v>-11</v>
      </c>
      <c r="AK27" s="333">
        <f ca="1">IF(OR($A27="",TYPE(VLOOKUP($A27,Centrum!$D$3:$M$130,10,0))&gt;3),"",VLOOKUP(VLOOKUP($A27,Centrum!$D$3:$M$130,10,0),Centrum!$A$3:$CB$130,AK$132,0))</f>
        <v>29</v>
      </c>
      <c r="AL27" s="333">
        <f ca="1">IF(OR($A27="",TYPE(VLOOKUP($A27,Centrum!$D$3:$M$130,10,0))&gt;3),"",VLOOKUP(VLOOKUP($A27,Centrum!$D$3:$M$130,10,0),Centrum!$A$3:$CB$130,AL$132,0))</f>
        <v>1</v>
      </c>
      <c r="AM27" s="333">
        <f ca="1">IF(OR($A27="",TYPE(VLOOKUP($A27,Centrum!$D$3:$M$130,10,0))&gt;3),"",VLOOKUP(VLOOKUP($A27,Centrum!$D$3:$M$130,10,0),Centrum!$A$3:$CB$130,AM$132,0))</f>
        <v>1</v>
      </c>
      <c r="AT27" s="333">
        <f ca="1">IF(OR(OR($A27="",TYPE(VLOOKUP($A27,Centrum!$D$3:$M$130,10,0))&gt;3),$A$1&lt;4),"",VLOOKUP(VLOOKUP($A27,Centrum!$D$3:$M$130,10,0),Centrum!$A$3:$CB$130,AT$132,0))</f>
        <v>44</v>
      </c>
      <c r="AU27" s="333">
        <f ca="1">IF(OR(OR($A27="",TYPE(VLOOKUP($A27,Centrum!$D$3:$M$130,10,0))&gt;3),$A$1&lt;4),"",VLOOKUP(VLOOKUP($A27,Centrum!$D$3:$M$130,10,0),Centrum!$A$3:$CB$130,AU$132,0))</f>
        <v>0</v>
      </c>
      <c r="AV27" s="333">
        <f ca="1">IF(OR(OR($A27="",TYPE(VLOOKUP($A27,Centrum!$D$3:$M$130,10,0))&gt;3),$A$1&lt;4),"",VLOOKUP(VLOOKUP($A27,Centrum!$D$3:$M$130,10,0),Centrum!$A$3:$CB$130,AV$132,0))</f>
        <v>-12</v>
      </c>
      <c r="BC27" s="333" t="str">
        <f>IF(OR(OR($A27="",TYPE(VLOOKUP($A27,Centrum!$D$3:$M$130,10,0))&gt;3),$A$1&lt;5),"",VLOOKUP(VLOOKUP($A27,Centrum!$D$3:$M$130,10,0),Centrum!$A$3:$CB$130,BC$132,0))</f>
        <v/>
      </c>
      <c r="BD27" s="333" t="str">
        <f>IF(OR(OR($A27="",TYPE(VLOOKUP($A27,Centrum!$D$3:$M$130,10,0))&gt;3),$A$1&lt;5),"",VLOOKUP(VLOOKUP($A27,Centrum!$D$3:$M$130,10,0),Centrum!$A$3:$CB$130,BD$132,0))</f>
        <v/>
      </c>
      <c r="BE27" s="333" t="str">
        <f>IF(OR(OR($A27="",TYPE(VLOOKUP($A27,Centrum!$D$3:$M$130,10,0))&gt;3),$A$1&lt;5),"",VLOOKUP(VLOOKUP($A27,Centrum!$D$3:$M$130,10,0),Centrum!$A$3:$CB$130,BE$132,0))</f>
        <v/>
      </c>
      <c r="BL27" s="333" t="str">
        <f>IF(OR(OR($A27="",TYPE(VLOOKUP($A27,Centrum!$D$3:$M$130,10,0))&gt;3),$A$1&lt;6),"",VLOOKUP(VLOOKUP($A27,Centrum!$D$3:$M$130,10,0),Centrum!$A$3:$CB$130,BL$132,0))</f>
        <v/>
      </c>
      <c r="BM27" s="333" t="str">
        <f>IF(OR(OR($A27="",TYPE(VLOOKUP($A27,Centrum!$D$3:$M$130,10,0))&gt;3),$A$1&lt;6),"",VLOOKUP(VLOOKUP($A27,Centrum!$D$3:$M$130,10,0),Centrum!$A$3:$CB$130,BM$132,0))</f>
        <v/>
      </c>
      <c r="BN27" s="333" t="str">
        <f>IF(OR(OR($A27="",TYPE(VLOOKUP($A27,Centrum!$D$3:$M$130,10,0))&gt;3),$A$1&lt;6),"",VLOOKUP(VLOOKUP($A27,Centrum!$D$3:$M$130,10,0),Centrum!$A$3:$CB$130,BN$132,0))</f>
        <v/>
      </c>
    </row>
    <row r="28" spans="1:66" x14ac:dyDescent="0.25">
      <c r="A28" s="333">
        <f>Centrum!A28</f>
        <v>26</v>
      </c>
      <c r="B28" s="439" t="str">
        <f>IF(OR($A28="",TYPE(VLOOKUP($A28,Centrum!$D$3:$M$130,10,0))&gt;3),"",VLOOKUP(VLOOKUP(A28,Centrum!$D$3:$M$130,10,0),Centrum!$A$3:$CB$130,B$132,0))</f>
        <v>14 Sokol Kostomlaty - Vaníček Rudolf</v>
      </c>
      <c r="C28" s="333">
        <f>IF(OR($A28="",TYPE(VLOOKUP($A28,Centrum!$D$3:$M$130,10,0))&gt;3),"",VLOOKUP($A28,Centrum!$D$3:$M$130,10,0))</f>
        <v>14</v>
      </c>
      <c r="E28" s="333">
        <f ca="1">IF(OR($A28="",TYPE(VLOOKUP($A28,Centrum!$D$3:$M$130,10,0))&gt;3),"",VLOOKUP(VLOOKUP($A28,Centrum!$D$3:$M$130,10,0),Centrum!$A$3:$CB$130,E$132,0))</f>
        <v>2</v>
      </c>
      <c r="F28" s="333">
        <f ca="1">IF(OR($A28="",TYPE(VLOOKUP($A28,Centrum!$D$3:$M$130,10,0))&gt;3),"",VLOOKUP(VLOOKUP($A28,Centrum!$D$3:$M$130,10,0),Centrum!$A$3:$CB$130,F$132,0))</f>
        <v>8</v>
      </c>
      <c r="G28" s="333">
        <f ca="1">IF(OR($A28="",TYPE(VLOOKUP($A28,Centrum!$D$3:$M$130,10,0))&gt;3),"",VLOOKUP(VLOOKUP($A28,Centrum!$D$3:$M$130,10,0),Centrum!$A$3:$CB$130,G$132,0))</f>
        <v>32</v>
      </c>
      <c r="H28" s="333">
        <f ca="1">IF($A28="","",VLOOKUP(VLOOKUP($A28,Centrum!$D$3:$M$130,10,0),Centrum!$A$3:$CB$130,H$132,0))</f>
        <v>2</v>
      </c>
      <c r="I28" s="333">
        <f ca="1">IF($A28="","",VLOOKUP(VLOOKUP($A28,Centrum!$D$3:$M$130,10,0),Centrum!$A$3:$CB$130,I$132,0))</f>
        <v>0</v>
      </c>
      <c r="J28" s="333">
        <f ca="1">IF(OR($A28="",TYPE(VLOOKUP($A28,Centrum!$D$3:$M$130,10,0))&gt;3),"",VLOOKUP(VLOOKUP($A28,Centrum!$D$3:$M$130,10,0),Centrum!$A$3:$CB$130,J$132,0))</f>
        <v>-5</v>
      </c>
      <c r="L28" s="333">
        <f ca="1">IF(OR($A28="",TYPE(VLOOKUP($A28,Centrum!$D$3:$M$130,10,0))&gt;3),"",VLOOKUP(VLOOKUP($A28,Centrum!$D$3:$M$130,10,0),Centrum!$A$3:$CB$130,L$132,0))</f>
        <v>39</v>
      </c>
      <c r="M28" s="333">
        <f ca="1">IF(OR($A28="",TYPE(VLOOKUP($A28,Centrum!$D$3:$M$130,10,0))&gt;3),"",VLOOKUP(VLOOKUP($A28,Centrum!$D$3:$M$130,10,0),Centrum!$A$3:$CB$130,M$132,0))</f>
        <v>43</v>
      </c>
      <c r="N28" s="333">
        <f ca="1">IF(OR($A28="",TYPE(VLOOKUP($A28,Centrum!$D$3:$M$130,10,0))&gt;3),"",VLOOKUP(VLOOKUP($A28,Centrum!$D$3:$M$130,10,0),Centrum!$A$3:$CB$130,N$132,0))</f>
        <v>26</v>
      </c>
      <c r="O28" s="333">
        <f ca="1">IF(OR($A28="",TYPE(VLOOKUP($A28,Centrum!$D$3:$M$130,10,0))&gt;3),"",VLOOKUP(VLOOKUP($A28,Centrum!$D$3:$M$130,10,0),Centrum!$A$3:$CB$130,O$132,0))</f>
        <v>16</v>
      </c>
      <c r="P28" s="333">
        <f ca="1">IF(OR($A28="",TYPE(VLOOKUP($A28,Centrum!$D$3:$M$130,10,0))&gt;3),"",VLOOKUP(VLOOKUP($A28,Centrum!$D$3:$M$130,10,0),Centrum!$A$3:$CB$130,P$132,0))</f>
        <v>0</v>
      </c>
      <c r="Q28" s="333">
        <f ca="1">IF(OR($A28="",TYPE(VLOOKUP($A28,Centrum!$D$3:$M$130,10,0))&gt;3),"",VLOOKUP(VLOOKUP($A28,Centrum!$D$3:$M$130,10,0),Centrum!$A$3:$CB$130,Q$132,0))</f>
        <v>0</v>
      </c>
      <c r="S28" s="333">
        <f ca="1">IF(OR($A28="",TYPE(VLOOKUP($A28,Centrum!$D$3:$M$130,10,0))&gt;3),"",VLOOKUP(VLOOKUP($A28,Centrum!$D$3:$M$130,10,0),Centrum!$A$3:$CB$130,S$132,0))</f>
        <v>39</v>
      </c>
      <c r="T28" s="333">
        <f ca="1">IF(OR($A28="",TYPE(VLOOKUP($A28,Centrum!$D$3:$M$130,10,0))&gt;3),"",VLOOKUP(VLOOKUP($A28,Centrum!$D$3:$M$130,10,0),Centrum!$A$3:$CB$130,T$132,0))</f>
        <v>1</v>
      </c>
      <c r="U28" s="333">
        <f ca="1">IF(OR($A28="",TYPE(VLOOKUP($A28,Centrum!$D$3:$M$130,10,0))&gt;3),"",VLOOKUP(VLOOKUP($A28,Centrum!$D$3:$M$130,10,0),Centrum!$A$3:$CB$130,U$132,0))</f>
        <v>6</v>
      </c>
      <c r="AB28" s="333">
        <f ca="1">IF(OR($A28="",TYPE(VLOOKUP($A28,Centrum!$D$3:$M$130,10,0))&gt;3),"",VLOOKUP(VLOOKUP($A28,Centrum!$D$3:$M$130,10,0),Centrum!$A$3:$CB$130,AB$132,0))</f>
        <v>43</v>
      </c>
      <c r="AC28" s="333">
        <f ca="1">IF(OR($A28="",TYPE(VLOOKUP($A28,Centrum!$D$3:$M$130,10,0))&gt;3),"",VLOOKUP(VLOOKUP($A28,Centrum!$D$3:$M$130,10,0),Centrum!$A$3:$CB$130,AC$132,0))</f>
        <v>0</v>
      </c>
      <c r="AD28" s="333">
        <f ca="1">IF(OR($A28="",TYPE(VLOOKUP($A28,Centrum!$D$3:$M$130,10,0))&gt;3),"",VLOOKUP(VLOOKUP($A28,Centrum!$D$3:$M$130,10,0),Centrum!$A$3:$CB$130,AD$132,0))</f>
        <v>-7</v>
      </c>
      <c r="AK28" s="333">
        <f ca="1">IF(OR($A28="",TYPE(VLOOKUP($A28,Centrum!$D$3:$M$130,10,0))&gt;3),"",VLOOKUP(VLOOKUP($A28,Centrum!$D$3:$M$130,10,0),Centrum!$A$3:$CB$130,AK$132,0))</f>
        <v>26</v>
      </c>
      <c r="AL28" s="333">
        <f ca="1">IF(OR($A28="",TYPE(VLOOKUP($A28,Centrum!$D$3:$M$130,10,0))&gt;3),"",VLOOKUP(VLOOKUP($A28,Centrum!$D$3:$M$130,10,0),Centrum!$A$3:$CB$130,AL$132,0))</f>
        <v>1</v>
      </c>
      <c r="AM28" s="333">
        <f ca="1">IF(OR($A28="",TYPE(VLOOKUP($A28,Centrum!$D$3:$M$130,10,0))&gt;3),"",VLOOKUP(VLOOKUP($A28,Centrum!$D$3:$M$130,10,0),Centrum!$A$3:$CB$130,AM$132,0))</f>
        <v>3</v>
      </c>
      <c r="AT28" s="333">
        <f ca="1">IF(OR(OR($A28="",TYPE(VLOOKUP($A28,Centrum!$D$3:$M$130,10,0))&gt;3),$A$1&lt;4),"",VLOOKUP(VLOOKUP($A28,Centrum!$D$3:$M$130,10,0),Centrum!$A$3:$CB$130,AT$132,0))</f>
        <v>16</v>
      </c>
      <c r="AU28" s="333">
        <f ca="1">IF(OR(OR($A28="",TYPE(VLOOKUP($A28,Centrum!$D$3:$M$130,10,0))&gt;3),$A$1&lt;4),"",VLOOKUP(VLOOKUP($A28,Centrum!$D$3:$M$130,10,0),Centrum!$A$3:$CB$130,AU$132,0))</f>
        <v>0</v>
      </c>
      <c r="AV28" s="333">
        <f ca="1">IF(OR(OR($A28="",TYPE(VLOOKUP($A28,Centrum!$D$3:$M$130,10,0))&gt;3),$A$1&lt;4),"",VLOOKUP(VLOOKUP($A28,Centrum!$D$3:$M$130,10,0),Centrum!$A$3:$CB$130,AV$132,0))</f>
        <v>-7</v>
      </c>
      <c r="BC28" s="333" t="str">
        <f>IF(OR(OR($A28="",TYPE(VLOOKUP($A28,Centrum!$D$3:$M$130,10,0))&gt;3),$A$1&lt;5),"",VLOOKUP(VLOOKUP($A28,Centrum!$D$3:$M$130,10,0),Centrum!$A$3:$CB$130,BC$132,0))</f>
        <v/>
      </c>
      <c r="BD28" s="333" t="str">
        <f>IF(OR(OR($A28="",TYPE(VLOOKUP($A28,Centrum!$D$3:$M$130,10,0))&gt;3),$A$1&lt;5),"",VLOOKUP(VLOOKUP($A28,Centrum!$D$3:$M$130,10,0),Centrum!$A$3:$CB$130,BD$132,0))</f>
        <v/>
      </c>
      <c r="BE28" s="333" t="str">
        <f>IF(OR(OR($A28="",TYPE(VLOOKUP($A28,Centrum!$D$3:$M$130,10,0))&gt;3),$A$1&lt;5),"",VLOOKUP(VLOOKUP($A28,Centrum!$D$3:$M$130,10,0),Centrum!$A$3:$CB$130,BE$132,0))</f>
        <v/>
      </c>
      <c r="BL28" s="333" t="str">
        <f>IF(OR(OR($A28="",TYPE(VLOOKUP($A28,Centrum!$D$3:$M$130,10,0))&gt;3),$A$1&lt;6),"",VLOOKUP(VLOOKUP($A28,Centrum!$D$3:$M$130,10,0),Centrum!$A$3:$CB$130,BL$132,0))</f>
        <v/>
      </c>
      <c r="BM28" s="333" t="str">
        <f>IF(OR(OR($A28="",TYPE(VLOOKUP($A28,Centrum!$D$3:$M$130,10,0))&gt;3),$A$1&lt;6),"",VLOOKUP(VLOOKUP($A28,Centrum!$D$3:$M$130,10,0),Centrum!$A$3:$CB$130,BM$132,0))</f>
        <v/>
      </c>
      <c r="BN28" s="333" t="str">
        <f>IF(OR(OR($A28="",TYPE(VLOOKUP($A28,Centrum!$D$3:$M$130,10,0))&gt;3),$A$1&lt;6),"",VLOOKUP(VLOOKUP($A28,Centrum!$D$3:$M$130,10,0),Centrum!$A$3:$CB$130,BN$132,0))</f>
        <v/>
      </c>
    </row>
    <row r="29" spans="1:66" x14ac:dyDescent="0.25">
      <c r="A29" s="333">
        <f>Centrum!A29</f>
        <v>27</v>
      </c>
      <c r="B29" s="439" t="str">
        <f>IF(OR($A29="",TYPE(VLOOKUP($A29,Centrum!$D$3:$M$130,10,0))&gt;3),"",VLOOKUP(VLOOKUP(A29,Centrum!$D$3:$M$130,10,0),Centrum!$A$3:$CB$130,B$132,0))</f>
        <v>8 CdP Loděnice - Mrázek Petr</v>
      </c>
      <c r="C29" s="333">
        <f>IF(OR($A29="",TYPE(VLOOKUP($A29,Centrum!$D$3:$M$130,10,0))&gt;3),"",VLOOKUP($A29,Centrum!$D$3:$M$130,10,0))</f>
        <v>8</v>
      </c>
      <c r="E29" s="333">
        <f ca="1">IF(OR($A29="",TYPE(VLOOKUP($A29,Centrum!$D$3:$M$130,10,0))&gt;3),"",VLOOKUP(VLOOKUP($A29,Centrum!$D$3:$M$130,10,0),Centrum!$A$3:$CB$130,E$132,0))</f>
        <v>2</v>
      </c>
      <c r="F29" s="333">
        <f ca="1">IF(OR($A29="",TYPE(VLOOKUP($A29,Centrum!$D$3:$M$130,10,0))&gt;3),"",VLOOKUP(VLOOKUP($A29,Centrum!$D$3:$M$130,10,0),Centrum!$A$3:$CB$130,F$132,0))</f>
        <v>8</v>
      </c>
      <c r="G29" s="333">
        <f ca="1">IF(OR($A29="",TYPE(VLOOKUP($A29,Centrum!$D$3:$M$130,10,0))&gt;3),"",VLOOKUP(VLOOKUP($A29,Centrum!$D$3:$M$130,10,0),Centrum!$A$3:$CB$130,G$132,0))</f>
        <v>30</v>
      </c>
      <c r="H29" s="333">
        <f ca="1">IF($A29="","",VLOOKUP(VLOOKUP($A29,Centrum!$D$3:$M$130,10,0),Centrum!$A$3:$CB$130,H$132,0))</f>
        <v>2</v>
      </c>
      <c r="I29" s="333">
        <f ca="1">IF($A29="","",VLOOKUP(VLOOKUP($A29,Centrum!$D$3:$M$130,10,0),Centrum!$A$3:$CB$130,I$132,0))</f>
        <v>0</v>
      </c>
      <c r="J29" s="333">
        <f ca="1">IF(OR($A29="",TYPE(VLOOKUP($A29,Centrum!$D$3:$M$130,10,0))&gt;3),"",VLOOKUP(VLOOKUP($A29,Centrum!$D$3:$M$130,10,0),Centrum!$A$3:$CB$130,J$132,0))</f>
        <v>5</v>
      </c>
      <c r="L29" s="333">
        <f ca="1">IF(OR($A29="",TYPE(VLOOKUP($A29,Centrum!$D$3:$M$130,10,0))&gt;3),"",VLOOKUP(VLOOKUP($A29,Centrum!$D$3:$M$130,10,0),Centrum!$A$3:$CB$130,L$132,0))</f>
        <v>33</v>
      </c>
      <c r="M29" s="333">
        <f ca="1">IF(OR($A29="",TYPE(VLOOKUP($A29,Centrum!$D$3:$M$130,10,0))&gt;3),"",VLOOKUP(VLOOKUP($A29,Centrum!$D$3:$M$130,10,0),Centrum!$A$3:$CB$130,M$132,0))</f>
        <v>45</v>
      </c>
      <c r="N29" s="333">
        <f ca="1">IF(OR($A29="",TYPE(VLOOKUP($A29,Centrum!$D$3:$M$130,10,0))&gt;3),"",VLOOKUP(VLOOKUP($A29,Centrum!$D$3:$M$130,10,0),Centrum!$A$3:$CB$130,N$132,0))</f>
        <v>35</v>
      </c>
      <c r="O29" s="333">
        <f ca="1">IF(OR($A29="",TYPE(VLOOKUP($A29,Centrum!$D$3:$M$130,10,0))&gt;3),"",VLOOKUP(VLOOKUP($A29,Centrum!$D$3:$M$130,10,0),Centrum!$A$3:$CB$130,O$132,0))</f>
        <v>47</v>
      </c>
      <c r="P29" s="333">
        <f ca="1">IF(OR($A29="",TYPE(VLOOKUP($A29,Centrum!$D$3:$M$130,10,0))&gt;3),"",VLOOKUP(VLOOKUP($A29,Centrum!$D$3:$M$130,10,0),Centrum!$A$3:$CB$130,P$132,0))</f>
        <v>0</v>
      </c>
      <c r="Q29" s="333">
        <f ca="1">IF(OR($A29="",TYPE(VLOOKUP($A29,Centrum!$D$3:$M$130,10,0))&gt;3),"",VLOOKUP(VLOOKUP($A29,Centrum!$D$3:$M$130,10,0),Centrum!$A$3:$CB$130,Q$132,0))</f>
        <v>0</v>
      </c>
      <c r="S29" s="333">
        <f ca="1">IF(OR($A29="",TYPE(VLOOKUP($A29,Centrum!$D$3:$M$130,10,0))&gt;3),"",VLOOKUP(VLOOKUP($A29,Centrum!$D$3:$M$130,10,0),Centrum!$A$3:$CB$130,S$132,0))</f>
        <v>33</v>
      </c>
      <c r="T29" s="333">
        <f ca="1">IF(OR($A29="",TYPE(VLOOKUP($A29,Centrum!$D$3:$M$130,10,0))&gt;3),"",VLOOKUP(VLOOKUP($A29,Centrum!$D$3:$M$130,10,0),Centrum!$A$3:$CB$130,T$132,0))</f>
        <v>1</v>
      </c>
      <c r="U29" s="333">
        <f ca="1">IF(OR($A29="",TYPE(VLOOKUP($A29,Centrum!$D$3:$M$130,10,0))&gt;3),"",VLOOKUP(VLOOKUP($A29,Centrum!$D$3:$M$130,10,0),Centrum!$A$3:$CB$130,U$132,0))</f>
        <v>5</v>
      </c>
      <c r="AB29" s="333">
        <f ca="1">IF(OR($A29="",TYPE(VLOOKUP($A29,Centrum!$D$3:$M$130,10,0))&gt;3),"",VLOOKUP(VLOOKUP($A29,Centrum!$D$3:$M$130,10,0),Centrum!$A$3:$CB$130,AB$132,0))</f>
        <v>45</v>
      </c>
      <c r="AC29" s="333">
        <f ca="1">IF(OR($A29="",TYPE(VLOOKUP($A29,Centrum!$D$3:$M$130,10,0))&gt;3),"",VLOOKUP(VLOOKUP($A29,Centrum!$D$3:$M$130,10,0),Centrum!$A$3:$CB$130,AC$132,0))</f>
        <v>0</v>
      </c>
      <c r="AD29" s="333">
        <f ca="1">IF(OR($A29="",TYPE(VLOOKUP($A29,Centrum!$D$3:$M$130,10,0))&gt;3),"",VLOOKUP(VLOOKUP($A29,Centrum!$D$3:$M$130,10,0),Centrum!$A$3:$CB$130,AD$132,0))</f>
        <v>-4</v>
      </c>
      <c r="AK29" s="333">
        <f ca="1">IF(OR($A29="",TYPE(VLOOKUP($A29,Centrum!$D$3:$M$130,10,0))&gt;3),"",VLOOKUP(VLOOKUP($A29,Centrum!$D$3:$M$130,10,0),Centrum!$A$3:$CB$130,AK$132,0))</f>
        <v>35</v>
      </c>
      <c r="AL29" s="333">
        <f ca="1">IF(OR($A29="",TYPE(VLOOKUP($A29,Centrum!$D$3:$M$130,10,0))&gt;3),"",VLOOKUP(VLOOKUP($A29,Centrum!$D$3:$M$130,10,0),Centrum!$A$3:$CB$130,AL$132,0))</f>
        <v>0</v>
      </c>
      <c r="AM29" s="333">
        <f ca="1">IF(OR($A29="",TYPE(VLOOKUP($A29,Centrum!$D$3:$M$130,10,0))&gt;3),"",VLOOKUP(VLOOKUP($A29,Centrum!$D$3:$M$130,10,0),Centrum!$A$3:$CB$130,AM$132,0))</f>
        <v>-3</v>
      </c>
      <c r="AT29" s="333">
        <f ca="1">IF(OR(OR($A29="",TYPE(VLOOKUP($A29,Centrum!$D$3:$M$130,10,0))&gt;3),$A$1&lt;4),"",VLOOKUP(VLOOKUP($A29,Centrum!$D$3:$M$130,10,0),Centrum!$A$3:$CB$130,AT$132,0))</f>
        <v>47</v>
      </c>
      <c r="AU29" s="333">
        <f ca="1">IF(OR(OR($A29="",TYPE(VLOOKUP($A29,Centrum!$D$3:$M$130,10,0))&gt;3),$A$1&lt;4),"",VLOOKUP(VLOOKUP($A29,Centrum!$D$3:$M$130,10,0),Centrum!$A$3:$CB$130,AU$132,0))</f>
        <v>1</v>
      </c>
      <c r="AV29" s="333">
        <f ca="1">IF(OR(OR($A29="",TYPE(VLOOKUP($A29,Centrum!$D$3:$M$130,10,0))&gt;3),$A$1&lt;4),"",VLOOKUP(VLOOKUP($A29,Centrum!$D$3:$M$130,10,0),Centrum!$A$3:$CB$130,AV$132,0))</f>
        <v>7</v>
      </c>
      <c r="BC29" s="333" t="str">
        <f>IF(OR(OR($A29="",TYPE(VLOOKUP($A29,Centrum!$D$3:$M$130,10,0))&gt;3),$A$1&lt;5),"",VLOOKUP(VLOOKUP($A29,Centrum!$D$3:$M$130,10,0),Centrum!$A$3:$CB$130,BC$132,0))</f>
        <v/>
      </c>
      <c r="BD29" s="333" t="str">
        <f>IF(OR(OR($A29="",TYPE(VLOOKUP($A29,Centrum!$D$3:$M$130,10,0))&gt;3),$A$1&lt;5),"",VLOOKUP(VLOOKUP($A29,Centrum!$D$3:$M$130,10,0),Centrum!$A$3:$CB$130,BD$132,0))</f>
        <v/>
      </c>
      <c r="BE29" s="333" t="str">
        <f>IF(OR(OR($A29="",TYPE(VLOOKUP($A29,Centrum!$D$3:$M$130,10,0))&gt;3),$A$1&lt;5),"",VLOOKUP(VLOOKUP($A29,Centrum!$D$3:$M$130,10,0),Centrum!$A$3:$CB$130,BE$132,0))</f>
        <v/>
      </c>
      <c r="BL29" s="333" t="str">
        <f>IF(OR(OR($A29="",TYPE(VLOOKUP($A29,Centrum!$D$3:$M$130,10,0))&gt;3),$A$1&lt;6),"",VLOOKUP(VLOOKUP($A29,Centrum!$D$3:$M$130,10,0),Centrum!$A$3:$CB$130,BL$132,0))</f>
        <v/>
      </c>
      <c r="BM29" s="333" t="str">
        <f>IF(OR(OR($A29="",TYPE(VLOOKUP($A29,Centrum!$D$3:$M$130,10,0))&gt;3),$A$1&lt;6),"",VLOOKUP(VLOOKUP($A29,Centrum!$D$3:$M$130,10,0),Centrum!$A$3:$CB$130,BM$132,0))</f>
        <v/>
      </c>
      <c r="BN29" s="333" t="str">
        <f>IF(OR(OR($A29="",TYPE(VLOOKUP($A29,Centrum!$D$3:$M$130,10,0))&gt;3),$A$1&lt;6),"",VLOOKUP(VLOOKUP($A29,Centrum!$D$3:$M$130,10,0),Centrum!$A$3:$CB$130,BN$132,0))</f>
        <v/>
      </c>
    </row>
    <row r="30" spans="1:66" x14ac:dyDescent="0.25">
      <c r="A30" s="333">
        <f>Centrum!A30</f>
        <v>28</v>
      </c>
      <c r="B30" s="439" t="str">
        <f>IF(OR($A30="",TYPE(VLOOKUP($A30,Centrum!$D$3:$M$130,10,0))&gt;3),"",VLOOKUP(VLOOKUP(A30,Centrum!$D$3:$M$130,10,0),Centrum!$A$3:$CB$130,B$132,0))</f>
        <v>25 PK Osika Plzeň - Špitálský Milan</v>
      </c>
      <c r="C30" s="333">
        <f>IF(OR($A30="",TYPE(VLOOKUP($A30,Centrum!$D$3:$M$130,10,0))&gt;3),"",VLOOKUP($A30,Centrum!$D$3:$M$130,10,0))</f>
        <v>25</v>
      </c>
      <c r="E30" s="333">
        <f ca="1">IF(OR($A30="",TYPE(VLOOKUP($A30,Centrum!$D$3:$M$130,10,0))&gt;3),"",VLOOKUP(VLOOKUP($A30,Centrum!$D$3:$M$130,10,0),Centrum!$A$3:$CB$130,E$132,0))</f>
        <v>2</v>
      </c>
      <c r="F30" s="333">
        <f ca="1">IF(OR($A30="",TYPE(VLOOKUP($A30,Centrum!$D$3:$M$130,10,0))&gt;3),"",VLOOKUP(VLOOKUP($A30,Centrum!$D$3:$M$130,10,0),Centrum!$A$3:$CB$130,F$132,0))</f>
        <v>7</v>
      </c>
      <c r="G30" s="333">
        <f ca="1">IF(OR($A30="",TYPE(VLOOKUP($A30,Centrum!$D$3:$M$130,10,0))&gt;3),"",VLOOKUP(VLOOKUP($A30,Centrum!$D$3:$M$130,10,0),Centrum!$A$3:$CB$130,G$132,0))</f>
        <v>34</v>
      </c>
      <c r="H30" s="333">
        <f ca="1">IF($A30="","",VLOOKUP(VLOOKUP($A30,Centrum!$D$3:$M$130,10,0),Centrum!$A$3:$CB$130,H$132,0))</f>
        <v>2</v>
      </c>
      <c r="I30" s="333">
        <f ca="1">IF($A30="","",VLOOKUP(VLOOKUP($A30,Centrum!$D$3:$M$130,10,0),Centrum!$A$3:$CB$130,I$132,0))</f>
        <v>0</v>
      </c>
      <c r="J30" s="333">
        <f ca="1">IF(OR($A30="",TYPE(VLOOKUP($A30,Centrum!$D$3:$M$130,10,0))&gt;3),"",VLOOKUP(VLOOKUP($A30,Centrum!$D$3:$M$130,10,0),Centrum!$A$3:$CB$130,J$132,0))</f>
        <v>11</v>
      </c>
      <c r="L30" s="333">
        <f ca="1">IF(OR($A30="",TYPE(VLOOKUP($A30,Centrum!$D$3:$M$130,10,0))&gt;3),"",VLOOKUP(VLOOKUP($A30,Centrum!$D$3:$M$130,10,0),Centrum!$A$3:$CB$130,L$132,0))</f>
        <v>50</v>
      </c>
      <c r="M30" s="333">
        <f ca="1">IF(OR($A30="",TYPE(VLOOKUP($A30,Centrum!$D$3:$M$130,10,0))&gt;3),"",VLOOKUP(VLOOKUP($A30,Centrum!$D$3:$M$130,10,0),Centrum!$A$3:$CB$130,M$132,0))</f>
        <v>39</v>
      </c>
      <c r="N30" s="333">
        <f ca="1">IF(OR($A30="",TYPE(VLOOKUP($A30,Centrum!$D$3:$M$130,10,0))&gt;3),"",VLOOKUP(VLOOKUP($A30,Centrum!$D$3:$M$130,10,0),Centrum!$A$3:$CB$130,N$132,0))</f>
        <v>48</v>
      </c>
      <c r="O30" s="333">
        <f ca="1">IF(OR($A30="",TYPE(VLOOKUP($A30,Centrum!$D$3:$M$130,10,0))&gt;3),"",VLOOKUP(VLOOKUP($A30,Centrum!$D$3:$M$130,10,0),Centrum!$A$3:$CB$130,O$132,0))</f>
        <v>7</v>
      </c>
      <c r="P30" s="333">
        <f ca="1">IF(OR($A30="",TYPE(VLOOKUP($A30,Centrum!$D$3:$M$130,10,0))&gt;3),"",VLOOKUP(VLOOKUP($A30,Centrum!$D$3:$M$130,10,0),Centrum!$A$3:$CB$130,P$132,0))</f>
        <v>0</v>
      </c>
      <c r="Q30" s="333">
        <f ca="1">IF(OR($A30="",TYPE(VLOOKUP($A30,Centrum!$D$3:$M$130,10,0))&gt;3),"",VLOOKUP(VLOOKUP($A30,Centrum!$D$3:$M$130,10,0),Centrum!$A$3:$CB$130,Q$132,0))</f>
        <v>0</v>
      </c>
      <c r="S30" s="333">
        <f ca="1">IF(OR($A30="",TYPE(VLOOKUP($A30,Centrum!$D$3:$M$130,10,0))&gt;3),"",VLOOKUP(VLOOKUP($A30,Centrum!$D$3:$M$130,10,0),Centrum!$A$3:$CB$130,S$132,0))</f>
        <v>50</v>
      </c>
      <c r="T30" s="333">
        <f ca="1">IF(OR($A30="",TYPE(VLOOKUP($A30,Centrum!$D$3:$M$130,10,0))&gt;3),"",VLOOKUP(VLOOKUP($A30,Centrum!$D$3:$M$130,10,0),Centrum!$A$3:$CB$130,T$132,0))</f>
        <v>0</v>
      </c>
      <c r="U30" s="333">
        <f ca="1">IF(OR($A30="",TYPE(VLOOKUP($A30,Centrum!$D$3:$M$130,10,0))&gt;3),"",VLOOKUP(VLOOKUP($A30,Centrum!$D$3:$M$130,10,0),Centrum!$A$3:$CB$130,U$132,0))</f>
        <v>-1</v>
      </c>
      <c r="AB30" s="333">
        <f ca="1">IF(OR($A30="",TYPE(VLOOKUP($A30,Centrum!$D$3:$M$130,10,0))&gt;3),"",VLOOKUP(VLOOKUP($A30,Centrum!$D$3:$M$130,10,0),Centrum!$A$3:$CB$130,AB$132,0))</f>
        <v>39</v>
      </c>
      <c r="AC30" s="333">
        <f ca="1">IF(OR($A30="",TYPE(VLOOKUP($A30,Centrum!$D$3:$M$130,10,0))&gt;3),"",VLOOKUP(VLOOKUP($A30,Centrum!$D$3:$M$130,10,0),Centrum!$A$3:$CB$130,AC$132,0))</f>
        <v>1</v>
      </c>
      <c r="AD30" s="333">
        <f ca="1">IF(OR($A30="",TYPE(VLOOKUP($A30,Centrum!$D$3:$M$130,10,0))&gt;3),"",VLOOKUP(VLOOKUP($A30,Centrum!$D$3:$M$130,10,0),Centrum!$A$3:$CB$130,AD$132,0))</f>
        <v>7</v>
      </c>
      <c r="AK30" s="333">
        <f ca="1">IF(OR($A30="",TYPE(VLOOKUP($A30,Centrum!$D$3:$M$130,10,0))&gt;3),"",VLOOKUP(VLOOKUP($A30,Centrum!$D$3:$M$130,10,0),Centrum!$A$3:$CB$130,AK$132,0))</f>
        <v>48</v>
      </c>
      <c r="AL30" s="333">
        <f ca="1">IF(OR($A30="",TYPE(VLOOKUP($A30,Centrum!$D$3:$M$130,10,0))&gt;3),"",VLOOKUP(VLOOKUP($A30,Centrum!$D$3:$M$130,10,0),Centrum!$A$3:$CB$130,AL$132,0))</f>
        <v>1</v>
      </c>
      <c r="AM30" s="333">
        <f ca="1">IF(OR($A30="",TYPE(VLOOKUP($A30,Centrum!$D$3:$M$130,10,0))&gt;3),"",VLOOKUP(VLOOKUP($A30,Centrum!$D$3:$M$130,10,0),Centrum!$A$3:$CB$130,AM$132,0))</f>
        <v>7</v>
      </c>
      <c r="AT30" s="333">
        <f ca="1">IF(OR(OR($A30="",TYPE(VLOOKUP($A30,Centrum!$D$3:$M$130,10,0))&gt;3),$A$1&lt;4),"",VLOOKUP(VLOOKUP($A30,Centrum!$D$3:$M$130,10,0),Centrum!$A$3:$CB$130,AT$132,0))</f>
        <v>7</v>
      </c>
      <c r="AU30" s="333">
        <f ca="1">IF(OR(OR($A30="",TYPE(VLOOKUP($A30,Centrum!$D$3:$M$130,10,0))&gt;3),$A$1&lt;4),"",VLOOKUP(VLOOKUP($A30,Centrum!$D$3:$M$130,10,0),Centrum!$A$3:$CB$130,AU$132,0))</f>
        <v>0</v>
      </c>
      <c r="AV30" s="333">
        <f ca="1">IF(OR(OR($A30="",TYPE(VLOOKUP($A30,Centrum!$D$3:$M$130,10,0))&gt;3),$A$1&lt;4),"",VLOOKUP(VLOOKUP($A30,Centrum!$D$3:$M$130,10,0),Centrum!$A$3:$CB$130,AV$132,0))</f>
        <v>-2</v>
      </c>
      <c r="BC30" s="333" t="str">
        <f>IF(OR(OR($A30="",TYPE(VLOOKUP($A30,Centrum!$D$3:$M$130,10,0))&gt;3),$A$1&lt;5),"",VLOOKUP(VLOOKUP($A30,Centrum!$D$3:$M$130,10,0),Centrum!$A$3:$CB$130,BC$132,0))</f>
        <v/>
      </c>
      <c r="BD30" s="333" t="str">
        <f>IF(OR(OR($A30="",TYPE(VLOOKUP($A30,Centrum!$D$3:$M$130,10,0))&gt;3),$A$1&lt;5),"",VLOOKUP(VLOOKUP($A30,Centrum!$D$3:$M$130,10,0),Centrum!$A$3:$CB$130,BD$132,0))</f>
        <v/>
      </c>
      <c r="BE30" s="333" t="str">
        <f>IF(OR(OR($A30="",TYPE(VLOOKUP($A30,Centrum!$D$3:$M$130,10,0))&gt;3),$A$1&lt;5),"",VLOOKUP(VLOOKUP($A30,Centrum!$D$3:$M$130,10,0),Centrum!$A$3:$CB$130,BE$132,0))</f>
        <v/>
      </c>
      <c r="BL30" s="333" t="str">
        <f>IF(OR(OR($A30="",TYPE(VLOOKUP($A30,Centrum!$D$3:$M$130,10,0))&gt;3),$A$1&lt;6),"",VLOOKUP(VLOOKUP($A30,Centrum!$D$3:$M$130,10,0),Centrum!$A$3:$CB$130,BL$132,0))</f>
        <v/>
      </c>
      <c r="BM30" s="333" t="str">
        <f>IF(OR(OR($A30="",TYPE(VLOOKUP($A30,Centrum!$D$3:$M$130,10,0))&gt;3),$A$1&lt;6),"",VLOOKUP(VLOOKUP($A30,Centrum!$D$3:$M$130,10,0),Centrum!$A$3:$CB$130,BM$132,0))</f>
        <v/>
      </c>
      <c r="BN30" s="333" t="str">
        <f>IF(OR(OR($A30="",TYPE(VLOOKUP($A30,Centrum!$D$3:$M$130,10,0))&gt;3),$A$1&lt;6),"",VLOOKUP(VLOOKUP($A30,Centrum!$D$3:$M$130,10,0),Centrum!$A$3:$CB$130,BN$132,0))</f>
        <v/>
      </c>
    </row>
    <row r="31" spans="1:66" x14ac:dyDescent="0.25">
      <c r="A31" s="333">
        <f>Centrum!A31</f>
        <v>29</v>
      </c>
      <c r="B31" s="439" t="str">
        <f>IF(OR($A31="",TYPE(VLOOKUP($A31,Centrum!$D$3:$M$130,10,0))&gt;3),"",VLOOKUP(VLOOKUP(A31,Centrum!$D$3:$M$130,10,0),Centrum!$A$3:$CB$130,B$132,0))</f>
        <v>41 CdP Loděnice - Janoš Jiří</v>
      </c>
      <c r="C31" s="333">
        <f>IF(OR($A31="",TYPE(VLOOKUP($A31,Centrum!$D$3:$M$130,10,0))&gt;3),"",VLOOKUP($A31,Centrum!$D$3:$M$130,10,0))</f>
        <v>41</v>
      </c>
      <c r="E31" s="333">
        <f ca="1">IF(OR($A31="",TYPE(VLOOKUP($A31,Centrum!$D$3:$M$130,10,0))&gt;3),"",VLOOKUP(VLOOKUP($A31,Centrum!$D$3:$M$130,10,0),Centrum!$A$3:$CB$130,E$132,0))</f>
        <v>2</v>
      </c>
      <c r="F31" s="333">
        <f ca="1">IF(OR($A31="",TYPE(VLOOKUP($A31,Centrum!$D$3:$M$130,10,0))&gt;3),"",VLOOKUP(VLOOKUP($A31,Centrum!$D$3:$M$130,10,0),Centrum!$A$3:$CB$130,F$132,0))</f>
        <v>7</v>
      </c>
      <c r="G31" s="333">
        <f ca="1">IF(OR($A31="",TYPE(VLOOKUP($A31,Centrum!$D$3:$M$130,10,0))&gt;3),"",VLOOKUP(VLOOKUP($A31,Centrum!$D$3:$M$130,10,0),Centrum!$A$3:$CB$130,G$132,0))</f>
        <v>32</v>
      </c>
      <c r="H31" s="333">
        <f ca="1">IF($A31="","",VLOOKUP(VLOOKUP($A31,Centrum!$D$3:$M$130,10,0),Centrum!$A$3:$CB$130,H$132,0))</f>
        <v>1</v>
      </c>
      <c r="I31" s="333">
        <f ca="1">IF($A31="","",VLOOKUP(VLOOKUP($A31,Centrum!$D$3:$M$130,10,0),Centrum!$A$3:$CB$130,I$132,0))</f>
        <v>2</v>
      </c>
      <c r="J31" s="333">
        <f ca="1">IF(OR($A31="",TYPE(VLOOKUP($A31,Centrum!$D$3:$M$130,10,0))&gt;3),"",VLOOKUP(VLOOKUP($A31,Centrum!$D$3:$M$130,10,0),Centrum!$A$3:$CB$130,J$132,0))</f>
        <v>-2</v>
      </c>
      <c r="L31" s="333">
        <f ca="1">IF(OR($A31="",TYPE(VLOOKUP($A31,Centrum!$D$3:$M$130,10,0))&gt;3),"",VLOOKUP(VLOOKUP($A31,Centrum!$D$3:$M$130,10,0),Centrum!$A$3:$CB$130,L$132,0))</f>
        <v>16</v>
      </c>
      <c r="M31" s="333">
        <f ca="1">IF(OR($A31="",TYPE(VLOOKUP($A31,Centrum!$D$3:$M$130,10,0))&gt;3),"",VLOOKUP(VLOOKUP($A31,Centrum!$D$3:$M$130,10,0),Centrum!$A$3:$CB$130,M$132,0))</f>
        <v>20</v>
      </c>
      <c r="N31" s="333">
        <f ca="1">IF(OR($A31="",TYPE(VLOOKUP($A31,Centrum!$D$3:$M$130,10,0))&gt;3),"",VLOOKUP(VLOOKUP($A31,Centrum!$D$3:$M$130,10,0),Centrum!$A$3:$CB$130,N$132,0))</f>
        <v>30</v>
      </c>
      <c r="O31" s="333">
        <f ca="1">IF(OR($A31="",TYPE(VLOOKUP($A31,Centrum!$D$3:$M$130,10,0))&gt;3),"",VLOOKUP(VLOOKUP($A31,Centrum!$D$3:$M$130,10,0),Centrum!$A$3:$CB$130,O$132,0))</f>
        <v>40</v>
      </c>
      <c r="P31" s="333">
        <f ca="1">IF(OR($A31="",TYPE(VLOOKUP($A31,Centrum!$D$3:$M$130,10,0))&gt;3),"",VLOOKUP(VLOOKUP($A31,Centrum!$D$3:$M$130,10,0),Centrum!$A$3:$CB$130,P$132,0))</f>
        <v>0</v>
      </c>
      <c r="Q31" s="333">
        <f ca="1">IF(OR($A31="",TYPE(VLOOKUP($A31,Centrum!$D$3:$M$130,10,0))&gt;3),"",VLOOKUP(VLOOKUP($A31,Centrum!$D$3:$M$130,10,0),Centrum!$A$3:$CB$130,Q$132,0))</f>
        <v>0</v>
      </c>
      <c r="S31" s="333">
        <f ca="1">IF(OR($A31="",TYPE(VLOOKUP($A31,Centrum!$D$3:$M$130,10,0))&gt;3),"",VLOOKUP(VLOOKUP($A31,Centrum!$D$3:$M$130,10,0),Centrum!$A$3:$CB$130,S$132,0))</f>
        <v>16</v>
      </c>
      <c r="T31" s="333">
        <f ca="1">IF(OR($A31="",TYPE(VLOOKUP($A31,Centrum!$D$3:$M$130,10,0))&gt;3),"",VLOOKUP(VLOOKUP($A31,Centrum!$D$3:$M$130,10,0),Centrum!$A$3:$CB$130,T$132,0))</f>
        <v>0</v>
      </c>
      <c r="U31" s="333">
        <f ca="1">IF(OR($A31="",TYPE(VLOOKUP($A31,Centrum!$D$3:$M$130,10,0))&gt;3),"",VLOOKUP(VLOOKUP($A31,Centrum!$D$3:$M$130,10,0),Centrum!$A$3:$CB$130,U$132,0))</f>
        <v>-11</v>
      </c>
      <c r="AB31" s="333">
        <f ca="1">IF(OR($A31="",TYPE(VLOOKUP($A31,Centrum!$D$3:$M$130,10,0))&gt;3),"",VLOOKUP(VLOOKUP($A31,Centrum!$D$3:$M$130,10,0),Centrum!$A$3:$CB$130,AB$132,0))</f>
        <v>20</v>
      </c>
      <c r="AC31" s="333">
        <f ca="1">IF(OR($A31="",TYPE(VLOOKUP($A31,Centrum!$D$3:$M$130,10,0))&gt;3),"",VLOOKUP(VLOOKUP($A31,Centrum!$D$3:$M$130,10,0),Centrum!$A$3:$CB$130,AC$132,0))</f>
        <v>0</v>
      </c>
      <c r="AD31" s="333">
        <f ca="1">IF(OR($A31="",TYPE(VLOOKUP($A31,Centrum!$D$3:$M$130,10,0))&gt;3),"",VLOOKUP(VLOOKUP($A31,Centrum!$D$3:$M$130,10,0),Centrum!$A$3:$CB$130,AD$132,0))</f>
        <v>-2</v>
      </c>
      <c r="AK31" s="333">
        <f ca="1">IF(OR($A31="",TYPE(VLOOKUP($A31,Centrum!$D$3:$M$130,10,0))&gt;3),"",VLOOKUP(VLOOKUP($A31,Centrum!$D$3:$M$130,10,0),Centrum!$A$3:$CB$130,AK$132,0))</f>
        <v>30</v>
      </c>
      <c r="AL31" s="333">
        <f ca="1">IF(OR($A31="",TYPE(VLOOKUP($A31,Centrum!$D$3:$M$130,10,0))&gt;3),"",VLOOKUP(VLOOKUP($A31,Centrum!$D$3:$M$130,10,0),Centrum!$A$3:$CB$130,AL$132,0))</f>
        <v>1</v>
      </c>
      <c r="AM31" s="333">
        <f ca="1">IF(OR($A31="",TYPE(VLOOKUP($A31,Centrum!$D$3:$M$130,10,0))&gt;3),"",VLOOKUP(VLOOKUP($A31,Centrum!$D$3:$M$130,10,0),Centrum!$A$3:$CB$130,AM$132,0))</f>
        <v>1</v>
      </c>
      <c r="AT31" s="333">
        <f ca="1">IF(OR(OR($A31="",TYPE(VLOOKUP($A31,Centrum!$D$3:$M$130,10,0))&gt;3),$A$1&lt;4),"",VLOOKUP(VLOOKUP($A31,Centrum!$D$3:$M$130,10,0),Centrum!$A$3:$CB$130,AT$132,0))</f>
        <v>40</v>
      </c>
      <c r="AU31" s="333">
        <f ca="1">IF(OR(OR($A31="",TYPE(VLOOKUP($A31,Centrum!$D$3:$M$130,10,0))&gt;3),$A$1&lt;4),"",VLOOKUP(VLOOKUP($A31,Centrum!$D$3:$M$130,10,0),Centrum!$A$3:$CB$130,AU$132,0))</f>
        <v>1</v>
      </c>
      <c r="AV31" s="333">
        <f ca="1">IF(OR(OR($A31="",TYPE(VLOOKUP($A31,Centrum!$D$3:$M$130,10,0))&gt;3),$A$1&lt;4),"",VLOOKUP(VLOOKUP($A31,Centrum!$D$3:$M$130,10,0),Centrum!$A$3:$CB$130,AV$132,0))</f>
        <v>10</v>
      </c>
      <c r="BC31" s="333" t="str">
        <f>IF(OR(OR($A31="",TYPE(VLOOKUP($A31,Centrum!$D$3:$M$130,10,0))&gt;3),$A$1&lt;5),"",VLOOKUP(VLOOKUP($A31,Centrum!$D$3:$M$130,10,0),Centrum!$A$3:$CB$130,BC$132,0))</f>
        <v/>
      </c>
      <c r="BD31" s="333" t="str">
        <f>IF(OR(OR($A31="",TYPE(VLOOKUP($A31,Centrum!$D$3:$M$130,10,0))&gt;3),$A$1&lt;5),"",VLOOKUP(VLOOKUP($A31,Centrum!$D$3:$M$130,10,0),Centrum!$A$3:$CB$130,BD$132,0))</f>
        <v/>
      </c>
      <c r="BE31" s="333" t="str">
        <f>IF(OR(OR($A31="",TYPE(VLOOKUP($A31,Centrum!$D$3:$M$130,10,0))&gt;3),$A$1&lt;5),"",VLOOKUP(VLOOKUP($A31,Centrum!$D$3:$M$130,10,0),Centrum!$A$3:$CB$130,BE$132,0))</f>
        <v/>
      </c>
      <c r="BL31" s="333" t="str">
        <f>IF(OR(OR($A31="",TYPE(VLOOKUP($A31,Centrum!$D$3:$M$130,10,0))&gt;3),$A$1&lt;6),"",VLOOKUP(VLOOKUP($A31,Centrum!$D$3:$M$130,10,0),Centrum!$A$3:$CB$130,BL$132,0))</f>
        <v/>
      </c>
      <c r="BM31" s="333" t="str">
        <f>IF(OR(OR($A31="",TYPE(VLOOKUP($A31,Centrum!$D$3:$M$130,10,0))&gt;3),$A$1&lt;6),"",VLOOKUP(VLOOKUP($A31,Centrum!$D$3:$M$130,10,0),Centrum!$A$3:$CB$130,BM$132,0))</f>
        <v/>
      </c>
      <c r="BN31" s="333" t="str">
        <f>IF(OR(OR($A31="",TYPE(VLOOKUP($A31,Centrum!$D$3:$M$130,10,0))&gt;3),$A$1&lt;6),"",VLOOKUP(VLOOKUP($A31,Centrum!$D$3:$M$130,10,0),Centrum!$A$3:$CB$130,BN$132,0))</f>
        <v/>
      </c>
    </row>
    <row r="32" spans="1:66" x14ac:dyDescent="0.25">
      <c r="A32" s="333">
        <f>Centrum!A32</f>
        <v>30</v>
      </c>
      <c r="B32" s="439" t="str">
        <f>IF(OR($A32="",TYPE(VLOOKUP($A32,Centrum!$D$3:$M$130,10,0))&gt;3),"",VLOOKUP(VLOOKUP(A32,Centrum!$D$3:$M$130,10,0),Centrum!$A$3:$CB$130,B$132,0))</f>
        <v>29 SKP Kulová osma - Pilát Petr</v>
      </c>
      <c r="C32" s="333">
        <f>IF(OR($A32="",TYPE(VLOOKUP($A32,Centrum!$D$3:$M$130,10,0))&gt;3),"",VLOOKUP($A32,Centrum!$D$3:$M$130,10,0))</f>
        <v>29</v>
      </c>
      <c r="E32" s="333">
        <f ca="1">IF(OR($A32="",TYPE(VLOOKUP($A32,Centrum!$D$3:$M$130,10,0))&gt;3),"",VLOOKUP(VLOOKUP($A32,Centrum!$D$3:$M$130,10,0),Centrum!$A$3:$CB$130,E$132,0))</f>
        <v>2</v>
      </c>
      <c r="F32" s="333">
        <f ca="1">IF(OR($A32="",TYPE(VLOOKUP($A32,Centrum!$D$3:$M$130,10,0))&gt;3),"",VLOOKUP(VLOOKUP($A32,Centrum!$D$3:$M$130,10,0),Centrum!$A$3:$CB$130,F$132,0))</f>
        <v>6</v>
      </c>
      <c r="G32" s="333">
        <f ca="1">IF(OR($A32="",TYPE(VLOOKUP($A32,Centrum!$D$3:$M$130,10,0))&gt;3),"",VLOOKUP(VLOOKUP($A32,Centrum!$D$3:$M$130,10,0),Centrum!$A$3:$CB$130,G$132,0))</f>
        <v>34</v>
      </c>
      <c r="H32" s="333">
        <f ca="1">IF($A32="","",VLOOKUP(VLOOKUP($A32,Centrum!$D$3:$M$130,10,0),Centrum!$A$3:$CB$130,H$132,0))</f>
        <v>2</v>
      </c>
      <c r="I32" s="333">
        <f ca="1">IF($A32="","",VLOOKUP(VLOOKUP($A32,Centrum!$D$3:$M$130,10,0),Centrum!$A$3:$CB$130,I$132,0))</f>
        <v>2</v>
      </c>
      <c r="J32" s="333">
        <f ca="1">IF(OR($A32="",TYPE(VLOOKUP($A32,Centrum!$D$3:$M$130,10,0))&gt;3),"",VLOOKUP(VLOOKUP($A32,Centrum!$D$3:$M$130,10,0),Centrum!$A$3:$CB$130,J$132,0))</f>
        <v>3</v>
      </c>
      <c r="L32" s="333">
        <f ca="1">IF(OR($A32="",TYPE(VLOOKUP($A32,Centrum!$D$3:$M$130,10,0))&gt;3),"",VLOOKUP(VLOOKUP($A32,Centrum!$D$3:$M$130,10,0),Centrum!$A$3:$CB$130,L$132,0))</f>
        <v>4</v>
      </c>
      <c r="M32" s="333">
        <f ca="1">IF(OR($A32="",TYPE(VLOOKUP($A32,Centrum!$D$3:$M$130,10,0))&gt;3),"",VLOOKUP(VLOOKUP($A32,Centrum!$D$3:$M$130,10,0),Centrum!$A$3:$CB$130,M$132,0))</f>
        <v>37</v>
      </c>
      <c r="N32" s="333">
        <f ca="1">IF(OR($A32="",TYPE(VLOOKUP($A32,Centrum!$D$3:$M$130,10,0))&gt;3),"",VLOOKUP(VLOOKUP($A32,Centrum!$D$3:$M$130,10,0),Centrum!$A$3:$CB$130,N$132,0))</f>
        <v>13</v>
      </c>
      <c r="O32" s="333">
        <f ca="1">IF(OR($A32="",TYPE(VLOOKUP($A32,Centrum!$D$3:$M$130,10,0))&gt;3),"",VLOOKUP(VLOOKUP($A32,Centrum!$D$3:$M$130,10,0),Centrum!$A$3:$CB$130,O$132,0))</f>
        <v>26</v>
      </c>
      <c r="P32" s="333">
        <f ca="1">IF(OR($A32="",TYPE(VLOOKUP($A32,Centrum!$D$3:$M$130,10,0))&gt;3),"",VLOOKUP(VLOOKUP($A32,Centrum!$D$3:$M$130,10,0),Centrum!$A$3:$CB$130,P$132,0))</f>
        <v>0</v>
      </c>
      <c r="Q32" s="333">
        <f ca="1">IF(OR($A32="",TYPE(VLOOKUP($A32,Centrum!$D$3:$M$130,10,0))&gt;3),"",VLOOKUP(VLOOKUP($A32,Centrum!$D$3:$M$130,10,0),Centrum!$A$3:$CB$130,Q$132,0))</f>
        <v>0</v>
      </c>
      <c r="S32" s="333">
        <f ca="1">IF(OR($A32="",TYPE(VLOOKUP($A32,Centrum!$D$3:$M$130,10,0))&gt;3),"",VLOOKUP(VLOOKUP($A32,Centrum!$D$3:$M$130,10,0),Centrum!$A$3:$CB$130,S$132,0))</f>
        <v>4</v>
      </c>
      <c r="T32" s="333">
        <f ca="1">IF(OR($A32="",TYPE(VLOOKUP($A32,Centrum!$D$3:$M$130,10,0))&gt;3),"",VLOOKUP(VLOOKUP($A32,Centrum!$D$3:$M$130,10,0),Centrum!$A$3:$CB$130,T$132,0))</f>
        <v>0</v>
      </c>
      <c r="U32" s="333">
        <f ca="1">IF(OR($A32="",TYPE(VLOOKUP($A32,Centrum!$D$3:$M$130,10,0))&gt;3),"",VLOOKUP(VLOOKUP($A32,Centrum!$D$3:$M$130,10,0),Centrum!$A$3:$CB$130,U$132,0))</f>
        <v>-3</v>
      </c>
      <c r="AB32" s="333">
        <f ca="1">IF(OR($A32="",TYPE(VLOOKUP($A32,Centrum!$D$3:$M$130,10,0))&gt;3),"",VLOOKUP(VLOOKUP($A32,Centrum!$D$3:$M$130,10,0),Centrum!$A$3:$CB$130,AB$132,0))</f>
        <v>37</v>
      </c>
      <c r="AC32" s="333">
        <f ca="1">IF(OR($A32="",TYPE(VLOOKUP($A32,Centrum!$D$3:$M$130,10,0))&gt;3),"",VLOOKUP(VLOOKUP($A32,Centrum!$D$3:$M$130,10,0),Centrum!$A$3:$CB$130,AC$132,0))</f>
        <v>1</v>
      </c>
      <c r="AD32" s="333">
        <f ca="1">IF(OR($A32="",TYPE(VLOOKUP($A32,Centrum!$D$3:$M$130,10,0))&gt;3),"",VLOOKUP(VLOOKUP($A32,Centrum!$D$3:$M$130,10,0),Centrum!$A$3:$CB$130,AD$132,0))</f>
        <v>6</v>
      </c>
      <c r="AK32" s="333">
        <f ca="1">IF(OR($A32="",TYPE(VLOOKUP($A32,Centrum!$D$3:$M$130,10,0))&gt;3),"",VLOOKUP(VLOOKUP($A32,Centrum!$D$3:$M$130,10,0),Centrum!$A$3:$CB$130,AK$132,0))</f>
        <v>13</v>
      </c>
      <c r="AL32" s="333">
        <f ca="1">IF(OR($A32="",TYPE(VLOOKUP($A32,Centrum!$D$3:$M$130,10,0))&gt;3),"",VLOOKUP(VLOOKUP($A32,Centrum!$D$3:$M$130,10,0),Centrum!$A$3:$CB$130,AL$132,0))</f>
        <v>0</v>
      </c>
      <c r="AM32" s="333">
        <f ca="1">IF(OR($A32="",TYPE(VLOOKUP($A32,Centrum!$D$3:$M$130,10,0))&gt;3),"",VLOOKUP(VLOOKUP($A32,Centrum!$D$3:$M$130,10,0),Centrum!$A$3:$CB$130,AM$132,0))</f>
        <v>-1</v>
      </c>
      <c r="AT32" s="333">
        <f ca="1">IF(OR(OR($A32="",TYPE(VLOOKUP($A32,Centrum!$D$3:$M$130,10,0))&gt;3),$A$1&lt;4),"",VLOOKUP(VLOOKUP($A32,Centrum!$D$3:$M$130,10,0),Centrum!$A$3:$CB$130,AT$132,0))</f>
        <v>26</v>
      </c>
      <c r="AU32" s="333">
        <f ca="1">IF(OR(OR($A32="",TYPE(VLOOKUP($A32,Centrum!$D$3:$M$130,10,0))&gt;3),$A$1&lt;4),"",VLOOKUP(VLOOKUP($A32,Centrum!$D$3:$M$130,10,0),Centrum!$A$3:$CB$130,AU$132,0))</f>
        <v>1</v>
      </c>
      <c r="AV32" s="333">
        <f ca="1">IF(OR(OR($A32="",TYPE(VLOOKUP($A32,Centrum!$D$3:$M$130,10,0))&gt;3),$A$1&lt;4),"",VLOOKUP(VLOOKUP($A32,Centrum!$D$3:$M$130,10,0),Centrum!$A$3:$CB$130,AV$132,0))</f>
        <v>1</v>
      </c>
      <c r="BC32" s="333" t="str">
        <f>IF(OR(OR($A32="",TYPE(VLOOKUP($A32,Centrum!$D$3:$M$130,10,0))&gt;3),$A$1&lt;5),"",VLOOKUP(VLOOKUP($A32,Centrum!$D$3:$M$130,10,0),Centrum!$A$3:$CB$130,BC$132,0))</f>
        <v/>
      </c>
      <c r="BD32" s="333" t="str">
        <f>IF(OR(OR($A32="",TYPE(VLOOKUP($A32,Centrum!$D$3:$M$130,10,0))&gt;3),$A$1&lt;5),"",VLOOKUP(VLOOKUP($A32,Centrum!$D$3:$M$130,10,0),Centrum!$A$3:$CB$130,BD$132,0))</f>
        <v/>
      </c>
      <c r="BE32" s="333" t="str">
        <f>IF(OR(OR($A32="",TYPE(VLOOKUP($A32,Centrum!$D$3:$M$130,10,0))&gt;3),$A$1&lt;5),"",VLOOKUP(VLOOKUP($A32,Centrum!$D$3:$M$130,10,0),Centrum!$A$3:$CB$130,BE$132,0))</f>
        <v/>
      </c>
      <c r="BL32" s="333" t="str">
        <f>IF(OR(OR($A32="",TYPE(VLOOKUP($A32,Centrum!$D$3:$M$130,10,0))&gt;3),$A$1&lt;6),"",VLOOKUP(VLOOKUP($A32,Centrum!$D$3:$M$130,10,0),Centrum!$A$3:$CB$130,BL$132,0))</f>
        <v/>
      </c>
      <c r="BM32" s="333" t="str">
        <f>IF(OR(OR($A32="",TYPE(VLOOKUP($A32,Centrum!$D$3:$M$130,10,0))&gt;3),$A$1&lt;6),"",VLOOKUP(VLOOKUP($A32,Centrum!$D$3:$M$130,10,0),Centrum!$A$3:$CB$130,BM$132,0))</f>
        <v/>
      </c>
      <c r="BN32" s="333" t="str">
        <f>IF(OR(OR($A32="",TYPE(VLOOKUP($A32,Centrum!$D$3:$M$130,10,0))&gt;3),$A$1&lt;6),"",VLOOKUP(VLOOKUP($A32,Centrum!$D$3:$M$130,10,0),Centrum!$A$3:$CB$130,BN$132,0))</f>
        <v/>
      </c>
    </row>
    <row r="33" spans="1:66" x14ac:dyDescent="0.25">
      <c r="A33" s="333">
        <f>Centrum!A33</f>
        <v>31</v>
      </c>
      <c r="B33" s="439" t="str">
        <f>IF(OR($A33="",TYPE(VLOOKUP($A33,Centrum!$D$3:$M$130,10,0))&gt;3),"",VLOOKUP(VLOOKUP(A33,Centrum!$D$3:$M$130,10,0),Centrum!$A$3:$CB$130,B$132,0))</f>
        <v>5 PK Osika Plzeň - Valenz Jan</v>
      </c>
      <c r="C33" s="333">
        <f>IF(OR($A33="",TYPE(VLOOKUP($A33,Centrum!$D$3:$M$130,10,0))&gt;3),"",VLOOKUP($A33,Centrum!$D$3:$M$130,10,0))</f>
        <v>5</v>
      </c>
      <c r="E33" s="333">
        <f ca="1">IF(OR($A33="",TYPE(VLOOKUP($A33,Centrum!$D$3:$M$130,10,0))&gt;3),"",VLOOKUP(VLOOKUP($A33,Centrum!$D$3:$M$130,10,0),Centrum!$A$3:$CB$130,E$132,0))</f>
        <v>2</v>
      </c>
      <c r="F33" s="333">
        <f ca="1">IF(OR($A33="",TYPE(VLOOKUP($A33,Centrum!$D$3:$M$130,10,0))&gt;3),"",VLOOKUP(VLOOKUP($A33,Centrum!$D$3:$M$130,10,0),Centrum!$A$3:$CB$130,F$132,0))</f>
        <v>6</v>
      </c>
      <c r="G33" s="333">
        <f ca="1">IF(OR($A33="",TYPE(VLOOKUP($A33,Centrum!$D$3:$M$130,10,0))&gt;3),"",VLOOKUP(VLOOKUP($A33,Centrum!$D$3:$M$130,10,0),Centrum!$A$3:$CB$130,G$132,0))</f>
        <v>34</v>
      </c>
      <c r="H33" s="333">
        <f ca="1">IF($A33="","",VLOOKUP(VLOOKUP($A33,Centrum!$D$3:$M$130,10,0),Centrum!$A$3:$CB$130,H$132,0))</f>
        <v>1</v>
      </c>
      <c r="I33" s="333">
        <f ca="1">IF($A33="","",VLOOKUP(VLOOKUP($A33,Centrum!$D$3:$M$130,10,0),Centrum!$A$3:$CB$130,I$132,0))</f>
        <v>0</v>
      </c>
      <c r="J33" s="333">
        <f ca="1">IF(OR($A33="",TYPE(VLOOKUP($A33,Centrum!$D$3:$M$130,10,0))&gt;3),"",VLOOKUP(VLOOKUP($A33,Centrum!$D$3:$M$130,10,0),Centrum!$A$3:$CB$130,J$132,0))</f>
        <v>-7</v>
      </c>
      <c r="L33" s="333">
        <f ca="1">IF(OR($A33="",TYPE(VLOOKUP($A33,Centrum!$D$3:$M$130,10,0))&gt;3),"",VLOOKUP(VLOOKUP($A33,Centrum!$D$3:$M$130,10,0),Centrum!$A$3:$CB$130,L$132,0))</f>
        <v>30</v>
      </c>
      <c r="M33" s="333">
        <f ca="1">IF(OR($A33="",TYPE(VLOOKUP($A33,Centrum!$D$3:$M$130,10,0))&gt;3),"",VLOOKUP(VLOOKUP($A33,Centrum!$D$3:$M$130,10,0),Centrum!$A$3:$CB$130,M$132,0))</f>
        <v>24</v>
      </c>
      <c r="N33" s="333">
        <f ca="1">IF(OR($A33="",TYPE(VLOOKUP($A33,Centrum!$D$3:$M$130,10,0))&gt;3),"",VLOOKUP(VLOOKUP($A33,Centrum!$D$3:$M$130,10,0),Centrum!$A$3:$CB$130,N$132,0))</f>
        <v>7</v>
      </c>
      <c r="O33" s="333">
        <f ca="1">IF(OR($A33="",TYPE(VLOOKUP($A33,Centrum!$D$3:$M$130,10,0))&gt;3),"",VLOOKUP(VLOOKUP($A33,Centrum!$D$3:$M$130,10,0),Centrum!$A$3:$CB$130,O$132,0))</f>
        <v>28</v>
      </c>
      <c r="P33" s="333">
        <f ca="1">IF(OR($A33="",TYPE(VLOOKUP($A33,Centrum!$D$3:$M$130,10,0))&gt;3),"",VLOOKUP(VLOOKUP($A33,Centrum!$D$3:$M$130,10,0),Centrum!$A$3:$CB$130,P$132,0))</f>
        <v>0</v>
      </c>
      <c r="Q33" s="333">
        <f ca="1">IF(OR($A33="",TYPE(VLOOKUP($A33,Centrum!$D$3:$M$130,10,0))&gt;3),"",VLOOKUP(VLOOKUP($A33,Centrum!$D$3:$M$130,10,0),Centrum!$A$3:$CB$130,Q$132,0))</f>
        <v>0</v>
      </c>
      <c r="S33" s="333">
        <f ca="1">IF(OR($A33="",TYPE(VLOOKUP($A33,Centrum!$D$3:$M$130,10,0))&gt;3),"",VLOOKUP(VLOOKUP($A33,Centrum!$D$3:$M$130,10,0),Centrum!$A$3:$CB$130,S$132,0))</f>
        <v>30</v>
      </c>
      <c r="T33" s="333">
        <f ca="1">IF(OR($A33="",TYPE(VLOOKUP($A33,Centrum!$D$3:$M$130,10,0))&gt;3),"",VLOOKUP(VLOOKUP($A33,Centrum!$D$3:$M$130,10,0),Centrum!$A$3:$CB$130,T$132,0))</f>
        <v>1</v>
      </c>
      <c r="U33" s="333">
        <f ca="1">IF(OR($A33="",TYPE(VLOOKUP($A33,Centrum!$D$3:$M$130,10,0))&gt;3),"",VLOOKUP(VLOOKUP($A33,Centrum!$D$3:$M$130,10,0),Centrum!$A$3:$CB$130,U$132,0))</f>
        <v>3</v>
      </c>
      <c r="AB33" s="333">
        <f ca="1">IF(OR($A33="",TYPE(VLOOKUP($A33,Centrum!$D$3:$M$130,10,0))&gt;3),"",VLOOKUP(VLOOKUP($A33,Centrum!$D$3:$M$130,10,0),Centrum!$A$3:$CB$130,AB$132,0))</f>
        <v>24</v>
      </c>
      <c r="AC33" s="333">
        <f ca="1">IF(OR($A33="",TYPE(VLOOKUP($A33,Centrum!$D$3:$M$130,10,0))&gt;3),"",VLOOKUP(VLOOKUP($A33,Centrum!$D$3:$M$130,10,0),Centrum!$A$3:$CB$130,AC$132,0))</f>
        <v>0</v>
      </c>
      <c r="AD33" s="333">
        <f ca="1">IF(OR($A33="",TYPE(VLOOKUP($A33,Centrum!$D$3:$M$130,10,0))&gt;3),"",VLOOKUP(VLOOKUP($A33,Centrum!$D$3:$M$130,10,0),Centrum!$A$3:$CB$130,AD$132,0))</f>
        <v>-12</v>
      </c>
      <c r="AK33" s="333">
        <f ca="1">IF(OR($A33="",TYPE(VLOOKUP($A33,Centrum!$D$3:$M$130,10,0))&gt;3),"",VLOOKUP(VLOOKUP($A33,Centrum!$D$3:$M$130,10,0),Centrum!$A$3:$CB$130,AK$132,0))</f>
        <v>7</v>
      </c>
      <c r="AL33" s="333">
        <f ca="1">IF(OR($A33="",TYPE(VLOOKUP($A33,Centrum!$D$3:$M$130,10,0))&gt;3),"",VLOOKUP(VLOOKUP($A33,Centrum!$D$3:$M$130,10,0),Centrum!$A$3:$CB$130,AL$132,0))</f>
        <v>0</v>
      </c>
      <c r="AM33" s="333">
        <f ca="1">IF(OR($A33="",TYPE(VLOOKUP($A33,Centrum!$D$3:$M$130,10,0))&gt;3),"",VLOOKUP(VLOOKUP($A33,Centrum!$D$3:$M$130,10,0),Centrum!$A$3:$CB$130,AM$132,0))</f>
        <v>-7</v>
      </c>
      <c r="AT33" s="333">
        <f ca="1">IF(OR(OR($A33="",TYPE(VLOOKUP($A33,Centrum!$D$3:$M$130,10,0))&gt;3),$A$1&lt;4),"",VLOOKUP(VLOOKUP($A33,Centrum!$D$3:$M$130,10,0),Centrum!$A$3:$CB$130,AT$132,0))</f>
        <v>28</v>
      </c>
      <c r="AU33" s="333">
        <f ca="1">IF(OR(OR($A33="",TYPE(VLOOKUP($A33,Centrum!$D$3:$M$130,10,0))&gt;3),$A$1&lt;4),"",VLOOKUP(VLOOKUP($A33,Centrum!$D$3:$M$130,10,0),Centrum!$A$3:$CB$130,AU$132,0))</f>
        <v>1</v>
      </c>
      <c r="AV33" s="333">
        <f ca="1">IF(OR(OR($A33="",TYPE(VLOOKUP($A33,Centrum!$D$3:$M$130,10,0))&gt;3),$A$1&lt;4),"",VLOOKUP(VLOOKUP($A33,Centrum!$D$3:$M$130,10,0),Centrum!$A$3:$CB$130,AV$132,0))</f>
        <v>9</v>
      </c>
      <c r="BC33" s="333" t="str">
        <f>IF(OR(OR($A33="",TYPE(VLOOKUP($A33,Centrum!$D$3:$M$130,10,0))&gt;3),$A$1&lt;5),"",VLOOKUP(VLOOKUP($A33,Centrum!$D$3:$M$130,10,0),Centrum!$A$3:$CB$130,BC$132,0))</f>
        <v/>
      </c>
      <c r="BD33" s="333" t="str">
        <f>IF(OR(OR($A33="",TYPE(VLOOKUP($A33,Centrum!$D$3:$M$130,10,0))&gt;3),$A$1&lt;5),"",VLOOKUP(VLOOKUP($A33,Centrum!$D$3:$M$130,10,0),Centrum!$A$3:$CB$130,BD$132,0))</f>
        <v/>
      </c>
      <c r="BE33" s="333" t="str">
        <f>IF(OR(OR($A33="",TYPE(VLOOKUP($A33,Centrum!$D$3:$M$130,10,0))&gt;3),$A$1&lt;5),"",VLOOKUP(VLOOKUP($A33,Centrum!$D$3:$M$130,10,0),Centrum!$A$3:$CB$130,BE$132,0))</f>
        <v/>
      </c>
      <c r="BL33" s="333" t="str">
        <f>IF(OR(OR($A33="",TYPE(VLOOKUP($A33,Centrum!$D$3:$M$130,10,0))&gt;3),$A$1&lt;6),"",VLOOKUP(VLOOKUP($A33,Centrum!$D$3:$M$130,10,0),Centrum!$A$3:$CB$130,BL$132,0))</f>
        <v/>
      </c>
      <c r="BM33" s="333" t="str">
        <f>IF(OR(OR($A33="",TYPE(VLOOKUP($A33,Centrum!$D$3:$M$130,10,0))&gt;3),$A$1&lt;6),"",VLOOKUP(VLOOKUP($A33,Centrum!$D$3:$M$130,10,0),Centrum!$A$3:$CB$130,BM$132,0))</f>
        <v/>
      </c>
      <c r="BN33" s="333" t="str">
        <f>IF(OR(OR($A33="",TYPE(VLOOKUP($A33,Centrum!$D$3:$M$130,10,0))&gt;3),$A$1&lt;6),"",VLOOKUP(VLOOKUP($A33,Centrum!$D$3:$M$130,10,0),Centrum!$A$3:$CB$130,BN$132,0))</f>
        <v/>
      </c>
    </row>
    <row r="34" spans="1:66" x14ac:dyDescent="0.25">
      <c r="A34" s="333">
        <f>Centrum!A34</f>
        <v>32</v>
      </c>
      <c r="B34" s="439" t="str">
        <f>IF(OR($A34="",TYPE(VLOOKUP($A34,Centrum!$D$3:$M$130,10,0))&gt;3),"",VLOOKUP(VLOOKUP(A34,Centrum!$D$3:$M$130,10,0),Centrum!$A$3:$CB$130,B$132,0))</f>
        <v>18 Club Rodamiento - Chmelař Ivo</v>
      </c>
      <c r="C34" s="333">
        <f>IF(OR($A34="",TYPE(VLOOKUP($A34,Centrum!$D$3:$M$130,10,0))&gt;3),"",VLOOKUP($A34,Centrum!$D$3:$M$130,10,0))</f>
        <v>18</v>
      </c>
      <c r="E34" s="333">
        <f ca="1">IF(OR($A34="",TYPE(VLOOKUP($A34,Centrum!$D$3:$M$130,10,0))&gt;3),"",VLOOKUP(VLOOKUP($A34,Centrum!$D$3:$M$130,10,0),Centrum!$A$3:$CB$130,E$132,0))</f>
        <v>2</v>
      </c>
      <c r="F34" s="333">
        <f ca="1">IF(OR($A34="",TYPE(VLOOKUP($A34,Centrum!$D$3:$M$130,10,0))&gt;3),"",VLOOKUP(VLOOKUP($A34,Centrum!$D$3:$M$130,10,0),Centrum!$A$3:$CB$130,F$132,0))</f>
        <v>6</v>
      </c>
      <c r="G34" s="333">
        <f ca="1">IF(OR($A34="",TYPE(VLOOKUP($A34,Centrum!$D$3:$M$130,10,0))&gt;3),"",VLOOKUP(VLOOKUP($A34,Centrum!$D$3:$M$130,10,0),Centrum!$A$3:$CB$130,G$132,0))</f>
        <v>33</v>
      </c>
      <c r="H34" s="333">
        <f ca="1">IF($A34="","",VLOOKUP(VLOOKUP($A34,Centrum!$D$3:$M$130,10,0),Centrum!$A$3:$CB$130,H$132,0))</f>
        <v>1</v>
      </c>
      <c r="I34" s="333">
        <f ca="1">IF($A34="","",VLOOKUP(VLOOKUP($A34,Centrum!$D$3:$M$130,10,0),Centrum!$A$3:$CB$130,I$132,0))</f>
        <v>0</v>
      </c>
      <c r="J34" s="333">
        <f ca="1">IF(OR($A34="",TYPE(VLOOKUP($A34,Centrum!$D$3:$M$130,10,0))&gt;3),"",VLOOKUP(VLOOKUP($A34,Centrum!$D$3:$M$130,10,0),Centrum!$A$3:$CB$130,J$132,0))</f>
        <v>7</v>
      </c>
      <c r="L34" s="333">
        <f ca="1">IF(OR($A34="",TYPE(VLOOKUP($A34,Centrum!$D$3:$M$130,10,0))&gt;3),"",VLOOKUP(VLOOKUP($A34,Centrum!$D$3:$M$130,10,0),Centrum!$A$3:$CB$130,L$132,0))</f>
        <v>43</v>
      </c>
      <c r="M34" s="333">
        <f ca="1">IF(OR($A34="",TYPE(VLOOKUP($A34,Centrum!$D$3:$M$130,10,0))&gt;3),"",VLOOKUP(VLOOKUP($A34,Centrum!$D$3:$M$130,10,0),Centrum!$A$3:$CB$130,M$132,0))</f>
        <v>49</v>
      </c>
      <c r="N34" s="333">
        <f ca="1">IF(OR($A34="",TYPE(VLOOKUP($A34,Centrum!$D$3:$M$130,10,0))&gt;3),"",VLOOKUP(VLOOKUP($A34,Centrum!$D$3:$M$130,10,0),Centrum!$A$3:$CB$130,N$132,0))</f>
        <v>37</v>
      </c>
      <c r="O34" s="333">
        <f ca="1">IF(OR($A34="",TYPE(VLOOKUP($A34,Centrum!$D$3:$M$130,10,0))&gt;3),"",VLOOKUP(VLOOKUP($A34,Centrum!$D$3:$M$130,10,0),Centrum!$A$3:$CB$130,O$132,0))</f>
        <v>30</v>
      </c>
      <c r="P34" s="333">
        <f ca="1">IF(OR($A34="",TYPE(VLOOKUP($A34,Centrum!$D$3:$M$130,10,0))&gt;3),"",VLOOKUP(VLOOKUP($A34,Centrum!$D$3:$M$130,10,0),Centrum!$A$3:$CB$130,P$132,0))</f>
        <v>0</v>
      </c>
      <c r="Q34" s="333">
        <f ca="1">IF(OR($A34="",TYPE(VLOOKUP($A34,Centrum!$D$3:$M$130,10,0))&gt;3),"",VLOOKUP(VLOOKUP($A34,Centrum!$D$3:$M$130,10,0),Centrum!$A$3:$CB$130,Q$132,0))</f>
        <v>0</v>
      </c>
      <c r="S34" s="333">
        <f ca="1">IF(OR($A34="",TYPE(VLOOKUP($A34,Centrum!$D$3:$M$130,10,0))&gt;3),"",VLOOKUP(VLOOKUP($A34,Centrum!$D$3:$M$130,10,0),Centrum!$A$3:$CB$130,S$132,0))</f>
        <v>43</v>
      </c>
      <c r="T34" s="333">
        <f ca="1">IF(OR($A34="",TYPE(VLOOKUP($A34,Centrum!$D$3:$M$130,10,0))&gt;3),"",VLOOKUP(VLOOKUP($A34,Centrum!$D$3:$M$130,10,0),Centrum!$A$3:$CB$130,T$132,0))</f>
        <v>0</v>
      </c>
      <c r="U34" s="333">
        <f ca="1">IF(OR($A34="",TYPE(VLOOKUP($A34,Centrum!$D$3:$M$130,10,0))&gt;3),"",VLOOKUP(VLOOKUP($A34,Centrum!$D$3:$M$130,10,0),Centrum!$A$3:$CB$130,U$132,0))</f>
        <v>-2</v>
      </c>
      <c r="AB34" s="333">
        <f ca="1">IF(OR($A34="",TYPE(VLOOKUP($A34,Centrum!$D$3:$M$130,10,0))&gt;3),"",VLOOKUP(VLOOKUP($A34,Centrum!$D$3:$M$130,10,0),Centrum!$A$3:$CB$130,AB$132,0))</f>
        <v>49</v>
      </c>
      <c r="AC34" s="333">
        <f ca="1">IF(OR($A34="",TYPE(VLOOKUP($A34,Centrum!$D$3:$M$130,10,0))&gt;3),"",VLOOKUP(VLOOKUP($A34,Centrum!$D$3:$M$130,10,0),Centrum!$A$3:$CB$130,AC$132,0))</f>
        <v>0</v>
      </c>
      <c r="AD34" s="333">
        <f ca="1">IF(OR($A34="",TYPE(VLOOKUP($A34,Centrum!$D$3:$M$130,10,0))&gt;3),"",VLOOKUP(VLOOKUP($A34,Centrum!$D$3:$M$130,10,0),Centrum!$A$3:$CB$130,AD$132,0))</f>
        <v>-1</v>
      </c>
      <c r="AK34" s="333">
        <f ca="1">IF(OR($A34="",TYPE(VLOOKUP($A34,Centrum!$D$3:$M$130,10,0))&gt;3),"",VLOOKUP(VLOOKUP($A34,Centrum!$D$3:$M$130,10,0),Centrum!$A$3:$CB$130,AK$132,0))</f>
        <v>37</v>
      </c>
      <c r="AL34" s="333">
        <f ca="1">IF(OR($A34="",TYPE(VLOOKUP($A34,Centrum!$D$3:$M$130,10,0))&gt;3),"",VLOOKUP(VLOOKUP($A34,Centrum!$D$3:$M$130,10,0),Centrum!$A$3:$CB$130,AL$132,0))</f>
        <v>1</v>
      </c>
      <c r="AM34" s="333">
        <f ca="1">IF(OR($A34="",TYPE(VLOOKUP($A34,Centrum!$D$3:$M$130,10,0))&gt;3),"",VLOOKUP(VLOOKUP($A34,Centrum!$D$3:$M$130,10,0),Centrum!$A$3:$CB$130,AM$132,0))</f>
        <v>9</v>
      </c>
      <c r="AT34" s="333">
        <f ca="1">IF(OR(OR($A34="",TYPE(VLOOKUP($A34,Centrum!$D$3:$M$130,10,0))&gt;3),$A$1&lt;4),"",VLOOKUP(VLOOKUP($A34,Centrum!$D$3:$M$130,10,0),Centrum!$A$3:$CB$130,AT$132,0))</f>
        <v>30</v>
      </c>
      <c r="AU34" s="333">
        <f ca="1">IF(OR(OR($A34="",TYPE(VLOOKUP($A34,Centrum!$D$3:$M$130,10,0))&gt;3),$A$1&lt;4),"",VLOOKUP(VLOOKUP($A34,Centrum!$D$3:$M$130,10,0),Centrum!$A$3:$CB$130,AU$132,0))</f>
        <v>1</v>
      </c>
      <c r="AV34" s="333">
        <f ca="1">IF(OR(OR($A34="",TYPE(VLOOKUP($A34,Centrum!$D$3:$M$130,10,0))&gt;3),$A$1&lt;4),"",VLOOKUP(VLOOKUP($A34,Centrum!$D$3:$M$130,10,0),Centrum!$A$3:$CB$130,AV$132,0))</f>
        <v>1</v>
      </c>
      <c r="BC34" s="333" t="str">
        <f>IF(OR(OR($A34="",TYPE(VLOOKUP($A34,Centrum!$D$3:$M$130,10,0))&gt;3),$A$1&lt;5),"",VLOOKUP(VLOOKUP($A34,Centrum!$D$3:$M$130,10,0),Centrum!$A$3:$CB$130,BC$132,0))</f>
        <v/>
      </c>
      <c r="BD34" s="333" t="str">
        <f>IF(OR(OR($A34="",TYPE(VLOOKUP($A34,Centrum!$D$3:$M$130,10,0))&gt;3),$A$1&lt;5),"",VLOOKUP(VLOOKUP($A34,Centrum!$D$3:$M$130,10,0),Centrum!$A$3:$CB$130,BD$132,0))</f>
        <v/>
      </c>
      <c r="BE34" s="333" t="str">
        <f>IF(OR(OR($A34="",TYPE(VLOOKUP($A34,Centrum!$D$3:$M$130,10,0))&gt;3),$A$1&lt;5),"",VLOOKUP(VLOOKUP($A34,Centrum!$D$3:$M$130,10,0),Centrum!$A$3:$CB$130,BE$132,0))</f>
        <v/>
      </c>
      <c r="BL34" s="333" t="str">
        <f>IF(OR(OR($A34="",TYPE(VLOOKUP($A34,Centrum!$D$3:$M$130,10,0))&gt;3),$A$1&lt;6),"",VLOOKUP(VLOOKUP($A34,Centrum!$D$3:$M$130,10,0),Centrum!$A$3:$CB$130,BL$132,0))</f>
        <v/>
      </c>
      <c r="BM34" s="333" t="str">
        <f>IF(OR(OR($A34="",TYPE(VLOOKUP($A34,Centrum!$D$3:$M$130,10,0))&gt;3),$A$1&lt;6),"",VLOOKUP(VLOOKUP($A34,Centrum!$D$3:$M$130,10,0),Centrum!$A$3:$CB$130,BM$132,0))</f>
        <v/>
      </c>
      <c r="BN34" s="333" t="str">
        <f>IF(OR(OR($A34="",TYPE(VLOOKUP($A34,Centrum!$D$3:$M$130,10,0))&gt;3),$A$1&lt;6),"",VLOOKUP(VLOOKUP($A34,Centrum!$D$3:$M$130,10,0),Centrum!$A$3:$CB$130,BN$132,0))</f>
        <v/>
      </c>
    </row>
    <row r="35" spans="1:66" x14ac:dyDescent="0.25">
      <c r="A35" s="333">
        <f>Centrum!A35</f>
        <v>33</v>
      </c>
      <c r="B35" s="439" t="str">
        <f>IF(OR($A35="",TYPE(VLOOKUP($A35,Centrum!$D$3:$M$130,10,0))&gt;3),"",VLOOKUP(VLOOKUP(A35,Centrum!$D$3:$M$130,10,0),Centrum!$A$3:$CB$130,B$132,0))</f>
        <v>17 Sokol Kostomlaty - Vyoral Hynek</v>
      </c>
      <c r="C35" s="333">
        <f>IF(OR($A35="",TYPE(VLOOKUP($A35,Centrum!$D$3:$M$130,10,0))&gt;3),"",VLOOKUP($A35,Centrum!$D$3:$M$130,10,0))</f>
        <v>17</v>
      </c>
      <c r="E35" s="333">
        <f ca="1">IF(OR($A35="",TYPE(VLOOKUP($A35,Centrum!$D$3:$M$130,10,0))&gt;3),"",VLOOKUP(VLOOKUP($A35,Centrum!$D$3:$M$130,10,0),Centrum!$A$3:$CB$130,E$132,0))</f>
        <v>2</v>
      </c>
      <c r="F35" s="333">
        <f ca="1">IF(OR($A35="",TYPE(VLOOKUP($A35,Centrum!$D$3:$M$130,10,0))&gt;3),"",VLOOKUP(VLOOKUP($A35,Centrum!$D$3:$M$130,10,0),Centrum!$A$3:$CB$130,F$132,0))</f>
        <v>6</v>
      </c>
      <c r="G35" s="333">
        <f ca="1">IF(OR($A35="",TYPE(VLOOKUP($A35,Centrum!$D$3:$M$130,10,0))&gt;3),"",VLOOKUP(VLOOKUP($A35,Centrum!$D$3:$M$130,10,0),Centrum!$A$3:$CB$130,G$132,0))</f>
        <v>31</v>
      </c>
      <c r="H35" s="333">
        <f ca="1">IF($A35="","",VLOOKUP(VLOOKUP($A35,Centrum!$D$3:$M$130,10,0),Centrum!$A$3:$CB$130,H$132,0))</f>
        <v>1</v>
      </c>
      <c r="I35" s="333">
        <f ca="1">IF($A35="","",VLOOKUP(VLOOKUP($A35,Centrum!$D$3:$M$130,10,0),Centrum!$A$3:$CB$130,I$132,0))</f>
        <v>0</v>
      </c>
      <c r="J35" s="333">
        <f ca="1">IF(OR($A35="",TYPE(VLOOKUP($A35,Centrum!$D$3:$M$130,10,0))&gt;3),"",VLOOKUP(VLOOKUP($A35,Centrum!$D$3:$M$130,10,0),Centrum!$A$3:$CB$130,J$132,0))</f>
        <v>15</v>
      </c>
      <c r="L35" s="333">
        <f ca="1">IF(OR($A35="",TYPE(VLOOKUP($A35,Centrum!$D$3:$M$130,10,0))&gt;3),"",VLOOKUP(VLOOKUP($A35,Centrum!$D$3:$M$130,10,0),Centrum!$A$3:$CB$130,L$132,0))</f>
        <v>42</v>
      </c>
      <c r="M35" s="333">
        <f ca="1">IF(OR($A35="",TYPE(VLOOKUP($A35,Centrum!$D$3:$M$130,10,0))&gt;3),"",VLOOKUP(VLOOKUP($A35,Centrum!$D$3:$M$130,10,0),Centrum!$A$3:$CB$130,M$132,0))</f>
        <v>9</v>
      </c>
      <c r="N35" s="333">
        <f ca="1">IF(OR($A35="",TYPE(VLOOKUP($A35,Centrum!$D$3:$M$130,10,0))&gt;3),"",VLOOKUP(VLOOKUP($A35,Centrum!$D$3:$M$130,10,0),Centrum!$A$3:$CB$130,N$132,0))</f>
        <v>49</v>
      </c>
      <c r="O35" s="333">
        <f ca="1">IF(OR($A35="",TYPE(VLOOKUP($A35,Centrum!$D$3:$M$130,10,0))&gt;3),"",VLOOKUP(VLOOKUP($A35,Centrum!$D$3:$M$130,10,0),Centrum!$A$3:$CB$130,O$132,0))</f>
        <v>46</v>
      </c>
      <c r="P35" s="333">
        <f ca="1">IF(OR($A35="",TYPE(VLOOKUP($A35,Centrum!$D$3:$M$130,10,0))&gt;3),"",VLOOKUP(VLOOKUP($A35,Centrum!$D$3:$M$130,10,0),Centrum!$A$3:$CB$130,P$132,0))</f>
        <v>0</v>
      </c>
      <c r="Q35" s="333">
        <f ca="1">IF(OR($A35="",TYPE(VLOOKUP($A35,Centrum!$D$3:$M$130,10,0))&gt;3),"",VLOOKUP(VLOOKUP($A35,Centrum!$D$3:$M$130,10,0),Centrum!$A$3:$CB$130,Q$132,0))</f>
        <v>0</v>
      </c>
      <c r="S35" s="333">
        <f ca="1">IF(OR($A35="",TYPE(VLOOKUP($A35,Centrum!$D$3:$M$130,10,0))&gt;3),"",VLOOKUP(VLOOKUP($A35,Centrum!$D$3:$M$130,10,0),Centrum!$A$3:$CB$130,S$132,0))</f>
        <v>42</v>
      </c>
      <c r="T35" s="333">
        <f ca="1">IF(OR($A35="",TYPE(VLOOKUP($A35,Centrum!$D$3:$M$130,10,0))&gt;3),"",VLOOKUP(VLOOKUP($A35,Centrum!$D$3:$M$130,10,0),Centrum!$A$3:$CB$130,T$132,0))</f>
        <v>1</v>
      </c>
      <c r="U35" s="333">
        <f ca="1">IF(OR($A35="",TYPE(VLOOKUP($A35,Centrum!$D$3:$M$130,10,0))&gt;3),"",VLOOKUP(VLOOKUP($A35,Centrum!$D$3:$M$130,10,0),Centrum!$A$3:$CB$130,U$132,0))</f>
        <v>9</v>
      </c>
      <c r="AB35" s="333">
        <f ca="1">IF(OR($A35="",TYPE(VLOOKUP($A35,Centrum!$D$3:$M$130,10,0))&gt;3),"",VLOOKUP(VLOOKUP($A35,Centrum!$D$3:$M$130,10,0),Centrum!$A$3:$CB$130,AB$132,0))</f>
        <v>9</v>
      </c>
      <c r="AC35" s="333">
        <f ca="1">IF(OR($A35="",TYPE(VLOOKUP($A35,Centrum!$D$3:$M$130,10,0))&gt;3),"",VLOOKUP(VLOOKUP($A35,Centrum!$D$3:$M$130,10,0),Centrum!$A$3:$CB$130,AC$132,0))</f>
        <v>0</v>
      </c>
      <c r="AD35" s="333">
        <f ca="1">IF(OR($A35="",TYPE(VLOOKUP($A35,Centrum!$D$3:$M$130,10,0))&gt;3),"",VLOOKUP(VLOOKUP($A35,Centrum!$D$3:$M$130,10,0),Centrum!$A$3:$CB$130,AD$132,0))</f>
        <v>-3</v>
      </c>
      <c r="AK35" s="333">
        <f ca="1">IF(OR($A35="",TYPE(VLOOKUP($A35,Centrum!$D$3:$M$130,10,0))&gt;3),"",VLOOKUP(VLOOKUP($A35,Centrum!$D$3:$M$130,10,0),Centrum!$A$3:$CB$130,AK$132,0))</f>
        <v>49</v>
      </c>
      <c r="AL35" s="333">
        <f ca="1">IF(OR($A35="",TYPE(VLOOKUP($A35,Centrum!$D$3:$M$130,10,0))&gt;3),"",VLOOKUP(VLOOKUP($A35,Centrum!$D$3:$M$130,10,0),Centrum!$A$3:$CB$130,AL$132,0))</f>
        <v>0</v>
      </c>
      <c r="AM35" s="333">
        <f ca="1">IF(OR($A35="",TYPE(VLOOKUP($A35,Centrum!$D$3:$M$130,10,0))&gt;3),"",VLOOKUP(VLOOKUP($A35,Centrum!$D$3:$M$130,10,0),Centrum!$A$3:$CB$130,AM$132,0))</f>
        <v>-2</v>
      </c>
      <c r="AT35" s="333">
        <f ca="1">IF(OR(OR($A35="",TYPE(VLOOKUP($A35,Centrum!$D$3:$M$130,10,0))&gt;3),$A$1&lt;4),"",VLOOKUP(VLOOKUP($A35,Centrum!$D$3:$M$130,10,0),Centrum!$A$3:$CB$130,AT$132,0))</f>
        <v>46</v>
      </c>
      <c r="AU35" s="333">
        <f ca="1">IF(OR(OR($A35="",TYPE(VLOOKUP($A35,Centrum!$D$3:$M$130,10,0))&gt;3),$A$1&lt;4),"",VLOOKUP(VLOOKUP($A35,Centrum!$D$3:$M$130,10,0),Centrum!$A$3:$CB$130,AU$132,0))</f>
        <v>1</v>
      </c>
      <c r="AV35" s="333">
        <f ca="1">IF(OR(OR($A35="",TYPE(VLOOKUP($A35,Centrum!$D$3:$M$130,10,0))&gt;3),$A$1&lt;4),"",VLOOKUP(VLOOKUP($A35,Centrum!$D$3:$M$130,10,0),Centrum!$A$3:$CB$130,AV$132,0))</f>
        <v>11</v>
      </c>
      <c r="BC35" s="333" t="str">
        <f>IF(OR(OR($A35="",TYPE(VLOOKUP($A35,Centrum!$D$3:$M$130,10,0))&gt;3),$A$1&lt;5),"",VLOOKUP(VLOOKUP($A35,Centrum!$D$3:$M$130,10,0),Centrum!$A$3:$CB$130,BC$132,0))</f>
        <v/>
      </c>
      <c r="BD35" s="333" t="str">
        <f>IF(OR(OR($A35="",TYPE(VLOOKUP($A35,Centrum!$D$3:$M$130,10,0))&gt;3),$A$1&lt;5),"",VLOOKUP(VLOOKUP($A35,Centrum!$D$3:$M$130,10,0),Centrum!$A$3:$CB$130,BD$132,0))</f>
        <v/>
      </c>
      <c r="BE35" s="333" t="str">
        <f>IF(OR(OR($A35="",TYPE(VLOOKUP($A35,Centrum!$D$3:$M$130,10,0))&gt;3),$A$1&lt;5),"",VLOOKUP(VLOOKUP($A35,Centrum!$D$3:$M$130,10,0),Centrum!$A$3:$CB$130,BE$132,0))</f>
        <v/>
      </c>
      <c r="BL35" s="333" t="str">
        <f>IF(OR(OR($A35="",TYPE(VLOOKUP($A35,Centrum!$D$3:$M$130,10,0))&gt;3),$A$1&lt;6),"",VLOOKUP(VLOOKUP($A35,Centrum!$D$3:$M$130,10,0),Centrum!$A$3:$CB$130,BL$132,0))</f>
        <v/>
      </c>
      <c r="BM35" s="333" t="str">
        <f>IF(OR(OR($A35="",TYPE(VLOOKUP($A35,Centrum!$D$3:$M$130,10,0))&gt;3),$A$1&lt;6),"",VLOOKUP(VLOOKUP($A35,Centrum!$D$3:$M$130,10,0),Centrum!$A$3:$CB$130,BM$132,0))</f>
        <v/>
      </c>
      <c r="BN35" s="333" t="str">
        <f>IF(OR(OR($A35="",TYPE(VLOOKUP($A35,Centrum!$D$3:$M$130,10,0))&gt;3),$A$1&lt;6),"",VLOOKUP(VLOOKUP($A35,Centrum!$D$3:$M$130,10,0),Centrum!$A$3:$CB$130,BN$132,0))</f>
        <v/>
      </c>
    </row>
    <row r="36" spans="1:66" x14ac:dyDescent="0.25">
      <c r="A36" s="333">
        <f>Centrum!A36</f>
        <v>34</v>
      </c>
      <c r="B36" s="439" t="str">
        <f>IF(OR($A36="",TYPE(VLOOKUP($A36,Centrum!$D$3:$M$130,10,0))&gt;3),"",VLOOKUP(VLOOKUP(A36,Centrum!$D$3:$M$130,10,0),Centrum!$A$3:$CB$130,B$132,0))</f>
        <v>34 UBU Únětice - Bayer Milan</v>
      </c>
      <c r="C36" s="333">
        <f>IF(OR($A36="",TYPE(VLOOKUP($A36,Centrum!$D$3:$M$130,10,0))&gt;3),"",VLOOKUP($A36,Centrum!$D$3:$M$130,10,0))</f>
        <v>34</v>
      </c>
      <c r="E36" s="333">
        <f ca="1">IF(OR($A36="",TYPE(VLOOKUP($A36,Centrum!$D$3:$M$130,10,0))&gt;3),"",VLOOKUP(VLOOKUP($A36,Centrum!$D$3:$M$130,10,0),Centrum!$A$3:$CB$130,E$132,0))</f>
        <v>2</v>
      </c>
      <c r="F36" s="333">
        <f ca="1">IF(OR($A36="",TYPE(VLOOKUP($A36,Centrum!$D$3:$M$130,10,0))&gt;3),"",VLOOKUP(VLOOKUP($A36,Centrum!$D$3:$M$130,10,0),Centrum!$A$3:$CB$130,F$132,0))</f>
        <v>6</v>
      </c>
      <c r="G36" s="333">
        <f ca="1">IF(OR($A36="",TYPE(VLOOKUP($A36,Centrum!$D$3:$M$130,10,0))&gt;3),"",VLOOKUP(VLOOKUP($A36,Centrum!$D$3:$M$130,10,0),Centrum!$A$3:$CB$130,G$132,0))</f>
        <v>30</v>
      </c>
      <c r="H36" s="333">
        <f ca="1">IF($A36="","",VLOOKUP(VLOOKUP($A36,Centrum!$D$3:$M$130,10,0),Centrum!$A$3:$CB$130,H$132,0))</f>
        <v>1</v>
      </c>
      <c r="I36" s="333">
        <f ca="1">IF($A36="","",VLOOKUP(VLOOKUP($A36,Centrum!$D$3:$M$130,10,0),Centrum!$A$3:$CB$130,I$132,0))</f>
        <v>2</v>
      </c>
      <c r="J36" s="333">
        <f ca="1">IF(OR($A36="",TYPE(VLOOKUP($A36,Centrum!$D$3:$M$130,10,0))&gt;3),"",VLOOKUP(VLOOKUP($A36,Centrum!$D$3:$M$130,10,0),Centrum!$A$3:$CB$130,J$132,0))</f>
        <v>4</v>
      </c>
      <c r="L36" s="333">
        <f ca="1">IF(OR($A36="",TYPE(VLOOKUP($A36,Centrum!$D$3:$M$130,10,0))&gt;3),"",VLOOKUP(VLOOKUP($A36,Centrum!$D$3:$M$130,10,0),Centrum!$A$3:$CB$130,L$132,0))</f>
        <v>9</v>
      </c>
      <c r="M36" s="333">
        <f ca="1">IF(OR($A36="",TYPE(VLOOKUP($A36,Centrum!$D$3:$M$130,10,0))&gt;3),"",VLOOKUP(VLOOKUP($A36,Centrum!$D$3:$M$130,10,0),Centrum!$A$3:$CB$130,M$132,0))</f>
        <v>31</v>
      </c>
      <c r="N36" s="333" t="str">
        <f ca="1">IF(OR($A36="",TYPE(VLOOKUP($A36,Centrum!$D$3:$M$130,10,0))&gt;3),"",VLOOKUP(VLOOKUP($A36,Centrum!$D$3:$M$130,10,0),Centrum!$A$3:$CB$130,N$132,0))</f>
        <v/>
      </c>
      <c r="O36" s="333">
        <f ca="1">IF(OR($A36="",TYPE(VLOOKUP($A36,Centrum!$D$3:$M$130,10,0))&gt;3),"",VLOOKUP(VLOOKUP($A36,Centrum!$D$3:$M$130,10,0),Centrum!$A$3:$CB$130,O$132,0))</f>
        <v>38</v>
      </c>
      <c r="P36" s="333">
        <f ca="1">IF(OR($A36="",TYPE(VLOOKUP($A36,Centrum!$D$3:$M$130,10,0))&gt;3),"",VLOOKUP(VLOOKUP($A36,Centrum!$D$3:$M$130,10,0),Centrum!$A$3:$CB$130,P$132,0))</f>
        <v>0</v>
      </c>
      <c r="Q36" s="333">
        <f ca="1">IF(OR($A36="",TYPE(VLOOKUP($A36,Centrum!$D$3:$M$130,10,0))&gt;3),"",VLOOKUP(VLOOKUP($A36,Centrum!$D$3:$M$130,10,0),Centrum!$A$3:$CB$130,Q$132,0))</f>
        <v>0</v>
      </c>
      <c r="S36" s="333">
        <f ca="1">IF(OR($A36="",TYPE(VLOOKUP($A36,Centrum!$D$3:$M$130,10,0))&gt;3),"",VLOOKUP(VLOOKUP($A36,Centrum!$D$3:$M$130,10,0),Centrum!$A$3:$CB$130,S$132,0))</f>
        <v>9</v>
      </c>
      <c r="T36" s="333">
        <f ca="1">IF(OR($A36="",TYPE(VLOOKUP($A36,Centrum!$D$3:$M$130,10,0))&gt;3),"",VLOOKUP(VLOOKUP($A36,Centrum!$D$3:$M$130,10,0),Centrum!$A$3:$CB$130,T$132,0))</f>
        <v>0</v>
      </c>
      <c r="U36" s="333">
        <f ca="1">IF(OR($A36="",TYPE(VLOOKUP($A36,Centrum!$D$3:$M$130,10,0))&gt;3),"",VLOOKUP(VLOOKUP($A36,Centrum!$D$3:$M$130,10,0),Centrum!$A$3:$CB$130,U$132,0))</f>
        <v>-1</v>
      </c>
      <c r="AB36" s="333">
        <f ca="1">IF(OR($A36="",TYPE(VLOOKUP($A36,Centrum!$D$3:$M$130,10,0))&gt;3),"",VLOOKUP(VLOOKUP($A36,Centrum!$D$3:$M$130,10,0),Centrum!$A$3:$CB$130,AB$132,0))</f>
        <v>31</v>
      </c>
      <c r="AC36" s="333">
        <f ca="1">IF(OR($A36="",TYPE(VLOOKUP($A36,Centrum!$D$3:$M$130,10,0))&gt;3),"",VLOOKUP(VLOOKUP($A36,Centrum!$D$3:$M$130,10,0),Centrum!$A$3:$CB$130,AC$132,0))</f>
        <v>0</v>
      </c>
      <c r="AD36" s="333">
        <f ca="1">IF(OR($A36="",TYPE(VLOOKUP($A36,Centrum!$D$3:$M$130,10,0))&gt;3),"",VLOOKUP(VLOOKUP($A36,Centrum!$D$3:$M$130,10,0),Centrum!$A$3:$CB$130,AD$132,0))</f>
        <v>-8</v>
      </c>
      <c r="AK36" s="333" t="str">
        <f ca="1">IF(OR($A36="",TYPE(VLOOKUP($A36,Centrum!$D$3:$M$130,10,0))&gt;3),"",VLOOKUP(VLOOKUP($A36,Centrum!$D$3:$M$130,10,0),Centrum!$A$3:$CB$130,AK$132,0))</f>
        <v/>
      </c>
      <c r="AL36" s="333">
        <f ca="1">IF(OR($A36="",TYPE(VLOOKUP($A36,Centrum!$D$3:$M$130,10,0))&gt;3),"",VLOOKUP(VLOOKUP($A36,Centrum!$D$3:$M$130,10,0),Centrum!$A$3:$CB$130,AL$132,0))</f>
        <v>1</v>
      </c>
      <c r="AM36" s="333">
        <f ca="1">IF(OR($A36="",TYPE(VLOOKUP($A36,Centrum!$D$3:$M$130,10,0))&gt;3),"",VLOOKUP(VLOOKUP($A36,Centrum!$D$3:$M$130,10,0),Centrum!$A$3:$CB$130,AM$132,0))</f>
        <v>6</v>
      </c>
      <c r="AT36" s="333">
        <f ca="1">IF(OR(OR($A36="",TYPE(VLOOKUP($A36,Centrum!$D$3:$M$130,10,0))&gt;3),$A$1&lt;4),"",VLOOKUP(VLOOKUP($A36,Centrum!$D$3:$M$130,10,0),Centrum!$A$3:$CB$130,AT$132,0))</f>
        <v>38</v>
      </c>
      <c r="AU36" s="333">
        <f ca="1">IF(OR(OR($A36="",TYPE(VLOOKUP($A36,Centrum!$D$3:$M$130,10,0))&gt;3),$A$1&lt;4),"",VLOOKUP(VLOOKUP($A36,Centrum!$D$3:$M$130,10,0),Centrum!$A$3:$CB$130,AU$132,0))</f>
        <v>1</v>
      </c>
      <c r="AV36" s="333">
        <f ca="1">IF(OR(OR($A36="",TYPE(VLOOKUP($A36,Centrum!$D$3:$M$130,10,0))&gt;3),$A$1&lt;4),"",VLOOKUP(VLOOKUP($A36,Centrum!$D$3:$M$130,10,0),Centrum!$A$3:$CB$130,AV$132,0))</f>
        <v>7</v>
      </c>
      <c r="BC36" s="333" t="str">
        <f>IF(OR(OR($A36="",TYPE(VLOOKUP($A36,Centrum!$D$3:$M$130,10,0))&gt;3),$A$1&lt;5),"",VLOOKUP(VLOOKUP($A36,Centrum!$D$3:$M$130,10,0),Centrum!$A$3:$CB$130,BC$132,0))</f>
        <v/>
      </c>
      <c r="BD36" s="333" t="str">
        <f>IF(OR(OR($A36="",TYPE(VLOOKUP($A36,Centrum!$D$3:$M$130,10,0))&gt;3),$A$1&lt;5),"",VLOOKUP(VLOOKUP($A36,Centrum!$D$3:$M$130,10,0),Centrum!$A$3:$CB$130,BD$132,0))</f>
        <v/>
      </c>
      <c r="BE36" s="333" t="str">
        <f>IF(OR(OR($A36="",TYPE(VLOOKUP($A36,Centrum!$D$3:$M$130,10,0))&gt;3),$A$1&lt;5),"",VLOOKUP(VLOOKUP($A36,Centrum!$D$3:$M$130,10,0),Centrum!$A$3:$CB$130,BE$132,0))</f>
        <v/>
      </c>
      <c r="BL36" s="333" t="str">
        <f>IF(OR(OR($A36="",TYPE(VLOOKUP($A36,Centrum!$D$3:$M$130,10,0))&gt;3),$A$1&lt;6),"",VLOOKUP(VLOOKUP($A36,Centrum!$D$3:$M$130,10,0),Centrum!$A$3:$CB$130,BL$132,0))</f>
        <v/>
      </c>
      <c r="BM36" s="333" t="str">
        <f>IF(OR(OR($A36="",TYPE(VLOOKUP($A36,Centrum!$D$3:$M$130,10,0))&gt;3),$A$1&lt;6),"",VLOOKUP(VLOOKUP($A36,Centrum!$D$3:$M$130,10,0),Centrum!$A$3:$CB$130,BM$132,0))</f>
        <v/>
      </c>
      <c r="BN36" s="333" t="str">
        <f>IF(OR(OR($A36="",TYPE(VLOOKUP($A36,Centrum!$D$3:$M$130,10,0))&gt;3),$A$1&lt;6),"",VLOOKUP(VLOOKUP($A36,Centrum!$D$3:$M$130,10,0),Centrum!$A$3:$CB$130,BN$132,0))</f>
        <v/>
      </c>
    </row>
    <row r="37" spans="1:66" x14ac:dyDescent="0.25">
      <c r="A37" s="333">
        <f>Centrum!A37</f>
        <v>35</v>
      </c>
      <c r="B37" s="439" t="str">
        <f>IF(OR($A37="",TYPE(VLOOKUP($A37,Centrum!$D$3:$M$130,10,0))&gt;3),"",VLOOKUP(VLOOKUP(A37,Centrum!$D$3:$M$130,10,0),Centrum!$A$3:$CB$130,B$132,0))</f>
        <v>51 CdP Loděnice - Tyrol Pavel</v>
      </c>
      <c r="C37" s="333">
        <f>IF(OR($A37="",TYPE(VLOOKUP($A37,Centrum!$D$3:$M$130,10,0))&gt;3),"",VLOOKUP($A37,Centrum!$D$3:$M$130,10,0))</f>
        <v>51</v>
      </c>
      <c r="E37" s="333">
        <f ca="1">IF(OR($A37="",TYPE(VLOOKUP($A37,Centrum!$D$3:$M$130,10,0))&gt;3),"",VLOOKUP(VLOOKUP($A37,Centrum!$D$3:$M$130,10,0),Centrum!$A$3:$CB$130,E$132,0))</f>
        <v>2</v>
      </c>
      <c r="F37" s="333">
        <f ca="1">IF(OR($A37="",TYPE(VLOOKUP($A37,Centrum!$D$3:$M$130,10,0))&gt;3),"",VLOOKUP(VLOOKUP($A37,Centrum!$D$3:$M$130,10,0),Centrum!$A$3:$CB$130,F$132,0))</f>
        <v>6</v>
      </c>
      <c r="G37" s="333">
        <f ca="1">IF(OR($A37="",TYPE(VLOOKUP($A37,Centrum!$D$3:$M$130,10,0))&gt;3),"",VLOOKUP(VLOOKUP($A37,Centrum!$D$3:$M$130,10,0),Centrum!$A$3:$CB$130,G$132,0))</f>
        <v>27</v>
      </c>
      <c r="H37" s="333">
        <f ca="1">IF($A37="","",VLOOKUP(VLOOKUP($A37,Centrum!$D$3:$M$130,10,0),Centrum!$A$3:$CB$130,H$132,0))</f>
        <v>1</v>
      </c>
      <c r="I37" s="333">
        <f ca="1">IF($A37="","",VLOOKUP(VLOOKUP($A37,Centrum!$D$3:$M$130,10,0),Centrum!$A$3:$CB$130,I$132,0))</f>
        <v>0</v>
      </c>
      <c r="J37" s="333">
        <f ca="1">IF(OR($A37="",TYPE(VLOOKUP($A37,Centrum!$D$3:$M$130,10,0))&gt;3),"",VLOOKUP(VLOOKUP($A37,Centrum!$D$3:$M$130,10,0),Centrum!$A$3:$CB$130,J$132,0))</f>
        <v>-7</v>
      </c>
      <c r="L37" s="333" t="str">
        <f ca="1">IF(OR($A37="",TYPE(VLOOKUP($A37,Centrum!$D$3:$M$130,10,0))&gt;3),"",VLOOKUP(VLOOKUP($A37,Centrum!$D$3:$M$130,10,0),Centrum!$A$3:$CB$130,L$132,0))</f>
        <v/>
      </c>
      <c r="M37" s="333">
        <f ca="1">IF(OR($A37="",TYPE(VLOOKUP($A37,Centrum!$D$3:$M$130,10,0))&gt;3),"",VLOOKUP(VLOOKUP($A37,Centrum!$D$3:$M$130,10,0),Centrum!$A$3:$CB$130,M$132,0))</f>
        <v>12</v>
      </c>
      <c r="N37" s="333">
        <f ca="1">IF(OR($A37="",TYPE(VLOOKUP($A37,Centrum!$D$3:$M$130,10,0))&gt;3),"",VLOOKUP(VLOOKUP($A37,Centrum!$D$3:$M$130,10,0),Centrum!$A$3:$CB$130,N$132,0))</f>
        <v>21</v>
      </c>
      <c r="O37" s="333">
        <f ca="1">IF(OR($A37="",TYPE(VLOOKUP($A37,Centrum!$D$3:$M$130,10,0))&gt;3),"",VLOOKUP(VLOOKUP($A37,Centrum!$D$3:$M$130,10,0),Centrum!$A$3:$CB$130,O$132,0))</f>
        <v>27</v>
      </c>
      <c r="P37" s="333">
        <f ca="1">IF(OR($A37="",TYPE(VLOOKUP($A37,Centrum!$D$3:$M$130,10,0))&gt;3),"",VLOOKUP(VLOOKUP($A37,Centrum!$D$3:$M$130,10,0),Centrum!$A$3:$CB$130,P$132,0))</f>
        <v>0</v>
      </c>
      <c r="Q37" s="333">
        <f ca="1">IF(OR($A37="",TYPE(VLOOKUP($A37,Centrum!$D$3:$M$130,10,0))&gt;3),"",VLOOKUP(VLOOKUP($A37,Centrum!$D$3:$M$130,10,0),Centrum!$A$3:$CB$130,Q$132,0))</f>
        <v>0</v>
      </c>
      <c r="S37" s="333" t="str">
        <f ca="1">IF(OR($A37="",TYPE(VLOOKUP($A37,Centrum!$D$3:$M$130,10,0))&gt;3),"",VLOOKUP(VLOOKUP($A37,Centrum!$D$3:$M$130,10,0),Centrum!$A$3:$CB$130,S$132,0))</f>
        <v/>
      </c>
      <c r="T37" s="333">
        <f ca="1">IF(OR($A37="",TYPE(VLOOKUP($A37,Centrum!$D$3:$M$130,10,0))&gt;3),"",VLOOKUP(VLOOKUP($A37,Centrum!$D$3:$M$130,10,0),Centrum!$A$3:$CB$130,T$132,0))</f>
        <v>1</v>
      </c>
      <c r="U37" s="333">
        <f ca="1">IF(OR($A37="",TYPE(VLOOKUP($A37,Centrum!$D$3:$M$130,10,0))&gt;3),"",VLOOKUP(VLOOKUP($A37,Centrum!$D$3:$M$130,10,0),Centrum!$A$3:$CB$130,U$132,0))</f>
        <v>6</v>
      </c>
      <c r="AB37" s="333">
        <f ca="1">IF(OR($A37="",TYPE(VLOOKUP($A37,Centrum!$D$3:$M$130,10,0))&gt;3),"",VLOOKUP(VLOOKUP($A37,Centrum!$D$3:$M$130,10,0),Centrum!$A$3:$CB$130,AB$132,0))</f>
        <v>12</v>
      </c>
      <c r="AC37" s="333">
        <f ca="1">IF(OR($A37="",TYPE(VLOOKUP($A37,Centrum!$D$3:$M$130,10,0))&gt;3),"",VLOOKUP(VLOOKUP($A37,Centrum!$D$3:$M$130,10,0),Centrum!$A$3:$CB$130,AC$132,0))</f>
        <v>0</v>
      </c>
      <c r="AD37" s="333">
        <f ca="1">IF(OR($A37="",TYPE(VLOOKUP($A37,Centrum!$D$3:$M$130,10,0))&gt;3),"",VLOOKUP(VLOOKUP($A37,Centrum!$D$3:$M$130,10,0),Centrum!$A$3:$CB$130,AD$132,0))</f>
        <v>-8</v>
      </c>
      <c r="AK37" s="333">
        <f ca="1">IF(OR($A37="",TYPE(VLOOKUP($A37,Centrum!$D$3:$M$130,10,0))&gt;3),"",VLOOKUP(VLOOKUP($A37,Centrum!$D$3:$M$130,10,0),Centrum!$A$3:$CB$130,AK$132,0))</f>
        <v>21</v>
      </c>
      <c r="AL37" s="333">
        <f ca="1">IF(OR($A37="",TYPE(VLOOKUP($A37,Centrum!$D$3:$M$130,10,0))&gt;3),"",VLOOKUP(VLOOKUP($A37,Centrum!$D$3:$M$130,10,0),Centrum!$A$3:$CB$130,AL$132,0))</f>
        <v>0</v>
      </c>
      <c r="AM37" s="333">
        <f ca="1">IF(OR($A37="",TYPE(VLOOKUP($A37,Centrum!$D$3:$M$130,10,0))&gt;3),"",VLOOKUP(VLOOKUP($A37,Centrum!$D$3:$M$130,10,0),Centrum!$A$3:$CB$130,AM$132,0))</f>
        <v>-11</v>
      </c>
      <c r="AT37" s="333">
        <f ca="1">IF(OR(OR($A37="",TYPE(VLOOKUP($A37,Centrum!$D$3:$M$130,10,0))&gt;3),$A$1&lt;4),"",VLOOKUP(VLOOKUP($A37,Centrum!$D$3:$M$130,10,0),Centrum!$A$3:$CB$130,AT$132,0))</f>
        <v>27</v>
      </c>
      <c r="AU37" s="333">
        <f ca="1">IF(OR(OR($A37="",TYPE(VLOOKUP($A37,Centrum!$D$3:$M$130,10,0))&gt;3),$A$1&lt;4),"",VLOOKUP(VLOOKUP($A37,Centrum!$D$3:$M$130,10,0),Centrum!$A$3:$CB$130,AU$132,0))</f>
        <v>1</v>
      </c>
      <c r="AV37" s="333">
        <f ca="1">IF(OR(OR($A37="",TYPE(VLOOKUP($A37,Centrum!$D$3:$M$130,10,0))&gt;3),$A$1&lt;4),"",VLOOKUP(VLOOKUP($A37,Centrum!$D$3:$M$130,10,0),Centrum!$A$3:$CB$130,AV$132,0))</f>
        <v>6</v>
      </c>
      <c r="BC37" s="333" t="str">
        <f>IF(OR(OR($A37="",TYPE(VLOOKUP($A37,Centrum!$D$3:$M$130,10,0))&gt;3),$A$1&lt;5),"",VLOOKUP(VLOOKUP($A37,Centrum!$D$3:$M$130,10,0),Centrum!$A$3:$CB$130,BC$132,0))</f>
        <v/>
      </c>
      <c r="BD37" s="333" t="str">
        <f>IF(OR(OR($A37="",TYPE(VLOOKUP($A37,Centrum!$D$3:$M$130,10,0))&gt;3),$A$1&lt;5),"",VLOOKUP(VLOOKUP($A37,Centrum!$D$3:$M$130,10,0),Centrum!$A$3:$CB$130,BD$132,0))</f>
        <v/>
      </c>
      <c r="BE37" s="333" t="str">
        <f>IF(OR(OR($A37="",TYPE(VLOOKUP($A37,Centrum!$D$3:$M$130,10,0))&gt;3),$A$1&lt;5),"",VLOOKUP(VLOOKUP($A37,Centrum!$D$3:$M$130,10,0),Centrum!$A$3:$CB$130,BE$132,0))</f>
        <v/>
      </c>
      <c r="BL37" s="333" t="str">
        <f>IF(OR(OR($A37="",TYPE(VLOOKUP($A37,Centrum!$D$3:$M$130,10,0))&gt;3),$A$1&lt;6),"",VLOOKUP(VLOOKUP($A37,Centrum!$D$3:$M$130,10,0),Centrum!$A$3:$CB$130,BL$132,0))</f>
        <v/>
      </c>
      <c r="BM37" s="333" t="str">
        <f>IF(OR(OR($A37="",TYPE(VLOOKUP($A37,Centrum!$D$3:$M$130,10,0))&gt;3),$A$1&lt;6),"",VLOOKUP(VLOOKUP($A37,Centrum!$D$3:$M$130,10,0),Centrum!$A$3:$CB$130,BM$132,0))</f>
        <v/>
      </c>
      <c r="BN37" s="333" t="str">
        <f>IF(OR(OR($A37="",TYPE(VLOOKUP($A37,Centrum!$D$3:$M$130,10,0))&gt;3),$A$1&lt;6),"",VLOOKUP(VLOOKUP($A37,Centrum!$D$3:$M$130,10,0),Centrum!$A$3:$CB$130,BN$132,0))</f>
        <v/>
      </c>
    </row>
    <row r="38" spans="1:66" x14ac:dyDescent="0.25">
      <c r="A38" s="333">
        <f>Centrum!A38</f>
        <v>36</v>
      </c>
      <c r="B38" s="439" t="str">
        <f>IF(OR($A38="",TYPE(VLOOKUP($A38,Centrum!$D$3:$M$130,10,0))&gt;3),"",VLOOKUP(VLOOKUP(A38,Centrum!$D$3:$M$130,10,0),Centrum!$A$3:$CB$130,B$132,0))</f>
        <v>15 SKP Kulová osma - Zátka Miloslav</v>
      </c>
      <c r="C38" s="333">
        <f>IF(OR($A38="",TYPE(VLOOKUP($A38,Centrum!$D$3:$M$130,10,0))&gt;3),"",VLOOKUP($A38,Centrum!$D$3:$M$130,10,0))</f>
        <v>15</v>
      </c>
      <c r="E38" s="333">
        <f ca="1">IF(OR($A38="",TYPE(VLOOKUP($A38,Centrum!$D$3:$M$130,10,0))&gt;3),"",VLOOKUP(VLOOKUP($A38,Centrum!$D$3:$M$130,10,0),Centrum!$A$3:$CB$130,E$132,0))</f>
        <v>2</v>
      </c>
      <c r="F38" s="333">
        <f ca="1">IF(OR($A38="",TYPE(VLOOKUP($A38,Centrum!$D$3:$M$130,10,0))&gt;3),"",VLOOKUP(VLOOKUP($A38,Centrum!$D$3:$M$130,10,0),Centrum!$A$3:$CB$130,F$132,0))</f>
        <v>5</v>
      </c>
      <c r="G38" s="333">
        <f ca="1">IF(OR($A38="",TYPE(VLOOKUP($A38,Centrum!$D$3:$M$130,10,0))&gt;3),"",VLOOKUP(VLOOKUP($A38,Centrum!$D$3:$M$130,10,0),Centrum!$A$3:$CB$130,G$132,0))</f>
        <v>34</v>
      </c>
      <c r="H38" s="333">
        <f ca="1">IF($A38="","",VLOOKUP(VLOOKUP($A38,Centrum!$D$3:$M$130,10,0),Centrum!$A$3:$CB$130,H$132,0))</f>
        <v>2</v>
      </c>
      <c r="I38" s="333">
        <f ca="1">IF($A38="","",VLOOKUP(VLOOKUP($A38,Centrum!$D$3:$M$130,10,0),Centrum!$A$3:$CB$130,I$132,0))</f>
        <v>0</v>
      </c>
      <c r="J38" s="333">
        <f ca="1">IF(OR($A38="",TYPE(VLOOKUP($A38,Centrum!$D$3:$M$130,10,0))&gt;3),"",VLOOKUP(VLOOKUP($A38,Centrum!$D$3:$M$130,10,0),Centrum!$A$3:$CB$130,J$132,0))</f>
        <v>3</v>
      </c>
      <c r="L38" s="333">
        <f ca="1">IF(OR($A38="",TYPE(VLOOKUP($A38,Centrum!$D$3:$M$130,10,0))&gt;3),"",VLOOKUP(VLOOKUP($A38,Centrum!$D$3:$M$130,10,0),Centrum!$A$3:$CB$130,L$132,0))</f>
        <v>40</v>
      </c>
      <c r="M38" s="333">
        <f ca="1">IF(OR($A38="",TYPE(VLOOKUP($A38,Centrum!$D$3:$M$130,10,0))&gt;3),"",VLOOKUP(VLOOKUP($A38,Centrum!$D$3:$M$130,10,0),Centrum!$A$3:$CB$130,M$132,0))</f>
        <v>47</v>
      </c>
      <c r="N38" s="333">
        <f ca="1">IF(OR($A38="",TYPE(VLOOKUP($A38,Centrum!$D$3:$M$130,10,0))&gt;3),"",VLOOKUP(VLOOKUP($A38,Centrum!$D$3:$M$130,10,0),Centrum!$A$3:$CB$130,N$132,0))</f>
        <v>50</v>
      </c>
      <c r="O38" s="333">
        <f ca="1">IF(OR($A38="",TYPE(VLOOKUP($A38,Centrum!$D$3:$M$130,10,0))&gt;3),"",VLOOKUP(VLOOKUP($A38,Centrum!$D$3:$M$130,10,0),Centrum!$A$3:$CB$130,O$132,0))</f>
        <v>48</v>
      </c>
      <c r="P38" s="333">
        <f ca="1">IF(OR($A38="",TYPE(VLOOKUP($A38,Centrum!$D$3:$M$130,10,0))&gt;3),"",VLOOKUP(VLOOKUP($A38,Centrum!$D$3:$M$130,10,0),Centrum!$A$3:$CB$130,P$132,0))</f>
        <v>0</v>
      </c>
      <c r="Q38" s="333">
        <f ca="1">IF(OR($A38="",TYPE(VLOOKUP($A38,Centrum!$D$3:$M$130,10,0))&gt;3),"",VLOOKUP(VLOOKUP($A38,Centrum!$D$3:$M$130,10,0),Centrum!$A$3:$CB$130,Q$132,0))</f>
        <v>0</v>
      </c>
      <c r="S38" s="333">
        <f ca="1">IF(OR($A38="",TYPE(VLOOKUP($A38,Centrum!$D$3:$M$130,10,0))&gt;3),"",VLOOKUP(VLOOKUP($A38,Centrum!$D$3:$M$130,10,0),Centrum!$A$3:$CB$130,S$132,0))</f>
        <v>40</v>
      </c>
      <c r="T38" s="333">
        <f ca="1">IF(OR($A38="",TYPE(VLOOKUP($A38,Centrum!$D$3:$M$130,10,0))&gt;3),"",VLOOKUP(VLOOKUP($A38,Centrum!$D$3:$M$130,10,0),Centrum!$A$3:$CB$130,T$132,0))</f>
        <v>0</v>
      </c>
      <c r="U38" s="333">
        <f ca="1">IF(OR($A38="",TYPE(VLOOKUP($A38,Centrum!$D$3:$M$130,10,0))&gt;3),"",VLOOKUP(VLOOKUP($A38,Centrum!$D$3:$M$130,10,0),Centrum!$A$3:$CB$130,U$132,0))</f>
        <v>-9</v>
      </c>
      <c r="AB38" s="333">
        <f ca="1">IF(OR($A38="",TYPE(VLOOKUP($A38,Centrum!$D$3:$M$130,10,0))&gt;3),"",VLOOKUP(VLOOKUP($A38,Centrum!$D$3:$M$130,10,0),Centrum!$A$3:$CB$130,AB$132,0))</f>
        <v>47</v>
      </c>
      <c r="AC38" s="333">
        <f ca="1">IF(OR($A38="",TYPE(VLOOKUP($A38,Centrum!$D$3:$M$130,10,0))&gt;3),"",VLOOKUP(VLOOKUP($A38,Centrum!$D$3:$M$130,10,0),Centrum!$A$3:$CB$130,AC$132,0))</f>
        <v>1</v>
      </c>
      <c r="AD38" s="333">
        <f ca="1">IF(OR($A38="",TYPE(VLOOKUP($A38,Centrum!$D$3:$M$130,10,0))&gt;3),"",VLOOKUP(VLOOKUP($A38,Centrum!$D$3:$M$130,10,0),Centrum!$A$3:$CB$130,AD$132,0))</f>
        <v>12</v>
      </c>
      <c r="AK38" s="333">
        <f ca="1">IF(OR($A38="",TYPE(VLOOKUP($A38,Centrum!$D$3:$M$130,10,0))&gt;3),"",VLOOKUP(VLOOKUP($A38,Centrum!$D$3:$M$130,10,0),Centrum!$A$3:$CB$130,AK$132,0))</f>
        <v>50</v>
      </c>
      <c r="AL38" s="333">
        <f ca="1">IF(OR($A38="",TYPE(VLOOKUP($A38,Centrum!$D$3:$M$130,10,0))&gt;3),"",VLOOKUP(VLOOKUP($A38,Centrum!$D$3:$M$130,10,0),Centrum!$A$3:$CB$130,AL$132,0))</f>
        <v>0</v>
      </c>
      <c r="AM38" s="333">
        <f ca="1">IF(OR($A38="",TYPE(VLOOKUP($A38,Centrum!$D$3:$M$130,10,0))&gt;3),"",VLOOKUP(VLOOKUP($A38,Centrum!$D$3:$M$130,10,0),Centrum!$A$3:$CB$130,AM$132,0))</f>
        <v>-1</v>
      </c>
      <c r="AT38" s="333">
        <f ca="1">IF(OR(OR($A38="",TYPE(VLOOKUP($A38,Centrum!$D$3:$M$130,10,0))&gt;3),$A$1&lt;4),"",VLOOKUP(VLOOKUP($A38,Centrum!$D$3:$M$130,10,0),Centrum!$A$3:$CB$130,AT$132,0))</f>
        <v>48</v>
      </c>
      <c r="AU38" s="333">
        <f ca="1">IF(OR(OR($A38="",TYPE(VLOOKUP($A38,Centrum!$D$3:$M$130,10,0))&gt;3),$A$1&lt;4),"",VLOOKUP(VLOOKUP($A38,Centrum!$D$3:$M$130,10,0),Centrum!$A$3:$CB$130,AU$132,0))</f>
        <v>1</v>
      </c>
      <c r="AV38" s="333">
        <f ca="1">IF(OR(OR($A38="",TYPE(VLOOKUP($A38,Centrum!$D$3:$M$130,10,0))&gt;3),$A$1&lt;4),"",VLOOKUP(VLOOKUP($A38,Centrum!$D$3:$M$130,10,0),Centrum!$A$3:$CB$130,AV$132,0))</f>
        <v>1</v>
      </c>
      <c r="BC38" s="333" t="str">
        <f>IF(OR(OR($A38="",TYPE(VLOOKUP($A38,Centrum!$D$3:$M$130,10,0))&gt;3),$A$1&lt;5),"",VLOOKUP(VLOOKUP($A38,Centrum!$D$3:$M$130,10,0),Centrum!$A$3:$CB$130,BC$132,0))</f>
        <v/>
      </c>
      <c r="BD38" s="333" t="str">
        <f>IF(OR(OR($A38="",TYPE(VLOOKUP($A38,Centrum!$D$3:$M$130,10,0))&gt;3),$A$1&lt;5),"",VLOOKUP(VLOOKUP($A38,Centrum!$D$3:$M$130,10,0),Centrum!$A$3:$CB$130,BD$132,0))</f>
        <v/>
      </c>
      <c r="BE38" s="333" t="str">
        <f>IF(OR(OR($A38="",TYPE(VLOOKUP($A38,Centrum!$D$3:$M$130,10,0))&gt;3),$A$1&lt;5),"",VLOOKUP(VLOOKUP($A38,Centrum!$D$3:$M$130,10,0),Centrum!$A$3:$CB$130,BE$132,0))</f>
        <v/>
      </c>
      <c r="BL38" s="333" t="str">
        <f>IF(OR(OR($A38="",TYPE(VLOOKUP($A38,Centrum!$D$3:$M$130,10,0))&gt;3),$A$1&lt;6),"",VLOOKUP(VLOOKUP($A38,Centrum!$D$3:$M$130,10,0),Centrum!$A$3:$CB$130,BL$132,0))</f>
        <v/>
      </c>
      <c r="BM38" s="333" t="str">
        <f>IF(OR(OR($A38="",TYPE(VLOOKUP($A38,Centrum!$D$3:$M$130,10,0))&gt;3),$A$1&lt;6),"",VLOOKUP(VLOOKUP($A38,Centrum!$D$3:$M$130,10,0),Centrum!$A$3:$CB$130,BM$132,0))</f>
        <v/>
      </c>
      <c r="BN38" s="333" t="str">
        <f>IF(OR(OR($A38="",TYPE(VLOOKUP($A38,Centrum!$D$3:$M$130,10,0))&gt;3),$A$1&lt;6),"",VLOOKUP(VLOOKUP($A38,Centrum!$D$3:$M$130,10,0),Centrum!$A$3:$CB$130,BN$132,0))</f>
        <v/>
      </c>
    </row>
    <row r="39" spans="1:66" x14ac:dyDescent="0.25">
      <c r="A39" s="333">
        <f>Centrum!A39</f>
        <v>37</v>
      </c>
      <c r="B39" s="439" t="str">
        <f>IF(OR($A39="",TYPE(VLOOKUP($A39,Centrum!$D$3:$M$130,10,0))&gt;3),"",VLOOKUP(VLOOKUP(A39,Centrum!$D$3:$M$130,10,0),Centrum!$A$3:$CB$130,B$132,0))</f>
        <v>40 SKP Kulová osma - Fárová Helena</v>
      </c>
      <c r="C39" s="333">
        <f>IF(OR($A39="",TYPE(VLOOKUP($A39,Centrum!$D$3:$M$130,10,0))&gt;3),"",VLOOKUP($A39,Centrum!$D$3:$M$130,10,0))</f>
        <v>40</v>
      </c>
      <c r="E39" s="333">
        <f ca="1">IF(OR($A39="",TYPE(VLOOKUP($A39,Centrum!$D$3:$M$130,10,0))&gt;3),"",VLOOKUP(VLOOKUP($A39,Centrum!$D$3:$M$130,10,0),Centrum!$A$3:$CB$130,E$132,0))</f>
        <v>1</v>
      </c>
      <c r="F39" s="333">
        <f ca="1">IF(OR($A39="",TYPE(VLOOKUP($A39,Centrum!$D$3:$M$130,10,0))&gt;3),"",VLOOKUP(VLOOKUP($A39,Centrum!$D$3:$M$130,10,0),Centrum!$A$3:$CB$130,F$132,0))</f>
        <v>9</v>
      </c>
      <c r="G39" s="333">
        <f ca="1">IF(OR($A39="",TYPE(VLOOKUP($A39,Centrum!$D$3:$M$130,10,0))&gt;3),"",VLOOKUP(VLOOKUP($A39,Centrum!$D$3:$M$130,10,0),Centrum!$A$3:$CB$130,G$132,0))</f>
        <v>30</v>
      </c>
      <c r="H39" s="333">
        <f ca="1">IF($A39="","",VLOOKUP(VLOOKUP($A39,Centrum!$D$3:$M$130,10,0),Centrum!$A$3:$CB$130,H$132,0))</f>
        <v>2</v>
      </c>
      <c r="I39" s="333">
        <f ca="1">IF($A39="","",VLOOKUP(VLOOKUP($A39,Centrum!$D$3:$M$130,10,0),Centrum!$A$3:$CB$130,I$132,0))</f>
        <v>1</v>
      </c>
      <c r="J39" s="333">
        <f ca="1">IF(OR($A39="",TYPE(VLOOKUP($A39,Centrum!$D$3:$M$130,10,0))&gt;3),"",VLOOKUP(VLOOKUP($A39,Centrum!$D$3:$M$130,10,0),Centrum!$A$3:$CB$130,J$132,0))</f>
        <v>-9</v>
      </c>
      <c r="L39" s="333">
        <f ca="1">IF(OR($A39="",TYPE(VLOOKUP($A39,Centrum!$D$3:$M$130,10,0))&gt;3),"",VLOOKUP(VLOOKUP($A39,Centrum!$D$3:$M$130,10,0),Centrum!$A$3:$CB$130,L$132,0))</f>
        <v>15</v>
      </c>
      <c r="M39" s="333">
        <f ca="1">IF(OR($A39="",TYPE(VLOOKUP($A39,Centrum!$D$3:$M$130,10,0))&gt;3),"",VLOOKUP(VLOOKUP($A39,Centrum!$D$3:$M$130,10,0),Centrum!$A$3:$CB$130,M$132,0))</f>
        <v>16</v>
      </c>
      <c r="N39" s="333">
        <f ca="1">IF(OR($A39="",TYPE(VLOOKUP($A39,Centrum!$D$3:$M$130,10,0))&gt;3),"",VLOOKUP(VLOOKUP($A39,Centrum!$D$3:$M$130,10,0),Centrum!$A$3:$CB$130,N$132,0))</f>
        <v>31</v>
      </c>
      <c r="O39" s="333">
        <f ca="1">IF(OR($A39="",TYPE(VLOOKUP($A39,Centrum!$D$3:$M$130,10,0))&gt;3),"",VLOOKUP(VLOOKUP($A39,Centrum!$D$3:$M$130,10,0),Centrum!$A$3:$CB$130,O$132,0))</f>
        <v>41</v>
      </c>
      <c r="P39" s="333">
        <f ca="1">IF(OR($A39="",TYPE(VLOOKUP($A39,Centrum!$D$3:$M$130,10,0))&gt;3),"",VLOOKUP(VLOOKUP($A39,Centrum!$D$3:$M$130,10,0),Centrum!$A$3:$CB$130,P$132,0))</f>
        <v>0</v>
      </c>
      <c r="Q39" s="333">
        <f ca="1">IF(OR($A39="",TYPE(VLOOKUP($A39,Centrum!$D$3:$M$130,10,0))&gt;3),"",VLOOKUP(VLOOKUP($A39,Centrum!$D$3:$M$130,10,0),Centrum!$A$3:$CB$130,Q$132,0))</f>
        <v>0</v>
      </c>
      <c r="S39" s="333">
        <f ca="1">IF(OR($A39="",TYPE(VLOOKUP($A39,Centrum!$D$3:$M$130,10,0))&gt;3),"",VLOOKUP(VLOOKUP($A39,Centrum!$D$3:$M$130,10,0),Centrum!$A$3:$CB$130,S$132,0))</f>
        <v>15</v>
      </c>
      <c r="T39" s="333">
        <f ca="1">IF(OR($A39="",TYPE(VLOOKUP($A39,Centrum!$D$3:$M$130,10,0))&gt;3),"",VLOOKUP(VLOOKUP($A39,Centrum!$D$3:$M$130,10,0),Centrum!$A$3:$CB$130,T$132,0))</f>
        <v>1</v>
      </c>
      <c r="U39" s="333">
        <f ca="1">IF(OR($A39="",TYPE(VLOOKUP($A39,Centrum!$D$3:$M$130,10,0))&gt;3),"",VLOOKUP(VLOOKUP($A39,Centrum!$D$3:$M$130,10,0),Centrum!$A$3:$CB$130,U$132,0))</f>
        <v>9</v>
      </c>
      <c r="AB39" s="333">
        <f ca="1">IF(OR($A39="",TYPE(VLOOKUP($A39,Centrum!$D$3:$M$130,10,0))&gt;3),"",VLOOKUP(VLOOKUP($A39,Centrum!$D$3:$M$130,10,0),Centrum!$A$3:$CB$130,AB$132,0))</f>
        <v>16</v>
      </c>
      <c r="AC39" s="333">
        <f ca="1">IF(OR($A39="",TYPE(VLOOKUP($A39,Centrum!$D$3:$M$130,10,0))&gt;3),"",VLOOKUP(VLOOKUP($A39,Centrum!$D$3:$M$130,10,0),Centrum!$A$3:$CB$130,AC$132,0))</f>
        <v>0</v>
      </c>
      <c r="AD39" s="333">
        <f ca="1">IF(OR($A39="",TYPE(VLOOKUP($A39,Centrum!$D$3:$M$130,10,0))&gt;3),"",VLOOKUP(VLOOKUP($A39,Centrum!$D$3:$M$130,10,0),Centrum!$A$3:$CB$130,AD$132,0))</f>
        <v>-5</v>
      </c>
      <c r="AK39" s="333">
        <f ca="1">IF(OR($A39="",TYPE(VLOOKUP($A39,Centrum!$D$3:$M$130,10,0))&gt;3),"",VLOOKUP(VLOOKUP($A39,Centrum!$D$3:$M$130,10,0),Centrum!$A$3:$CB$130,AK$132,0))</f>
        <v>31</v>
      </c>
      <c r="AL39" s="333">
        <f ca="1">IF(OR($A39="",TYPE(VLOOKUP($A39,Centrum!$D$3:$M$130,10,0))&gt;3),"",VLOOKUP(VLOOKUP($A39,Centrum!$D$3:$M$130,10,0),Centrum!$A$3:$CB$130,AL$132,0))</f>
        <v>0</v>
      </c>
      <c r="AM39" s="333">
        <f ca="1">IF(OR($A39="",TYPE(VLOOKUP($A39,Centrum!$D$3:$M$130,10,0))&gt;3),"",VLOOKUP(VLOOKUP($A39,Centrum!$D$3:$M$130,10,0),Centrum!$A$3:$CB$130,AM$132,0))</f>
        <v>-3</v>
      </c>
      <c r="AT39" s="333">
        <f ca="1">IF(OR(OR($A39="",TYPE(VLOOKUP($A39,Centrum!$D$3:$M$130,10,0))&gt;3),$A$1&lt;4),"",VLOOKUP(VLOOKUP($A39,Centrum!$D$3:$M$130,10,0),Centrum!$A$3:$CB$130,AT$132,0))</f>
        <v>41</v>
      </c>
      <c r="AU39" s="333">
        <f ca="1">IF(OR(OR($A39="",TYPE(VLOOKUP($A39,Centrum!$D$3:$M$130,10,0))&gt;3),$A$1&lt;4),"",VLOOKUP(VLOOKUP($A39,Centrum!$D$3:$M$130,10,0),Centrum!$A$3:$CB$130,AU$132,0))</f>
        <v>0</v>
      </c>
      <c r="AV39" s="333">
        <f ca="1">IF(OR(OR($A39="",TYPE(VLOOKUP($A39,Centrum!$D$3:$M$130,10,0))&gt;3),$A$1&lt;4),"",VLOOKUP(VLOOKUP($A39,Centrum!$D$3:$M$130,10,0),Centrum!$A$3:$CB$130,AV$132,0))</f>
        <v>-10</v>
      </c>
      <c r="BC39" s="333" t="str">
        <f>IF(OR(OR($A39="",TYPE(VLOOKUP($A39,Centrum!$D$3:$M$130,10,0))&gt;3),$A$1&lt;5),"",VLOOKUP(VLOOKUP($A39,Centrum!$D$3:$M$130,10,0),Centrum!$A$3:$CB$130,BC$132,0))</f>
        <v/>
      </c>
      <c r="BD39" s="333" t="str">
        <f>IF(OR(OR($A39="",TYPE(VLOOKUP($A39,Centrum!$D$3:$M$130,10,0))&gt;3),$A$1&lt;5),"",VLOOKUP(VLOOKUP($A39,Centrum!$D$3:$M$130,10,0),Centrum!$A$3:$CB$130,BD$132,0))</f>
        <v/>
      </c>
      <c r="BE39" s="333" t="str">
        <f>IF(OR(OR($A39="",TYPE(VLOOKUP($A39,Centrum!$D$3:$M$130,10,0))&gt;3),$A$1&lt;5),"",VLOOKUP(VLOOKUP($A39,Centrum!$D$3:$M$130,10,0),Centrum!$A$3:$CB$130,BE$132,0))</f>
        <v/>
      </c>
      <c r="BL39" s="333" t="str">
        <f>IF(OR(OR($A39="",TYPE(VLOOKUP($A39,Centrum!$D$3:$M$130,10,0))&gt;3),$A$1&lt;6),"",VLOOKUP(VLOOKUP($A39,Centrum!$D$3:$M$130,10,0),Centrum!$A$3:$CB$130,BL$132,0))</f>
        <v/>
      </c>
      <c r="BM39" s="333" t="str">
        <f>IF(OR(OR($A39="",TYPE(VLOOKUP($A39,Centrum!$D$3:$M$130,10,0))&gt;3),$A$1&lt;6),"",VLOOKUP(VLOOKUP($A39,Centrum!$D$3:$M$130,10,0),Centrum!$A$3:$CB$130,BM$132,0))</f>
        <v/>
      </c>
      <c r="BN39" s="333" t="str">
        <f>IF(OR(OR($A39="",TYPE(VLOOKUP($A39,Centrum!$D$3:$M$130,10,0))&gt;3),$A$1&lt;6),"",VLOOKUP(VLOOKUP($A39,Centrum!$D$3:$M$130,10,0),Centrum!$A$3:$CB$130,BN$132,0))</f>
        <v/>
      </c>
    </row>
    <row r="40" spans="1:66" x14ac:dyDescent="0.25">
      <c r="A40" s="333">
        <f>Centrum!A40</f>
        <v>38</v>
      </c>
      <c r="B40" s="439" t="str">
        <f>IF(OR($A40="",TYPE(VLOOKUP($A40,Centrum!$D$3:$M$130,10,0))&gt;3),"",VLOOKUP(VLOOKUP(A40,Centrum!$D$3:$M$130,10,0),Centrum!$A$3:$CB$130,B$132,0))</f>
        <v>32 Petank Club Praha - Boubínová Vendula</v>
      </c>
      <c r="C40" s="333">
        <f>IF(OR($A40="",TYPE(VLOOKUP($A40,Centrum!$D$3:$M$130,10,0))&gt;3),"",VLOOKUP($A40,Centrum!$D$3:$M$130,10,0))</f>
        <v>32</v>
      </c>
      <c r="E40" s="333">
        <f ca="1">IF(OR($A40="",TYPE(VLOOKUP($A40,Centrum!$D$3:$M$130,10,0))&gt;3),"",VLOOKUP(VLOOKUP($A40,Centrum!$D$3:$M$130,10,0),Centrum!$A$3:$CB$130,E$132,0))</f>
        <v>1</v>
      </c>
      <c r="F40" s="333">
        <f ca="1">IF(OR($A40="",TYPE(VLOOKUP($A40,Centrum!$D$3:$M$130,10,0))&gt;3),"",VLOOKUP(VLOOKUP($A40,Centrum!$D$3:$M$130,10,0),Centrum!$A$3:$CB$130,F$132,0))</f>
        <v>9</v>
      </c>
      <c r="G40" s="333">
        <f ca="1">IF(OR($A40="",TYPE(VLOOKUP($A40,Centrum!$D$3:$M$130,10,0))&gt;3),"",VLOOKUP(VLOOKUP($A40,Centrum!$D$3:$M$130,10,0),Centrum!$A$3:$CB$130,G$132,0))</f>
        <v>30</v>
      </c>
      <c r="H40" s="333">
        <f ca="1">IF($A40="","",VLOOKUP(VLOOKUP($A40,Centrum!$D$3:$M$130,10,0),Centrum!$A$3:$CB$130,H$132,0))</f>
        <v>1</v>
      </c>
      <c r="I40" s="333">
        <f ca="1">IF($A40="","",VLOOKUP(VLOOKUP($A40,Centrum!$D$3:$M$130,10,0),Centrum!$A$3:$CB$130,I$132,0))</f>
        <v>1</v>
      </c>
      <c r="J40" s="333">
        <f ca="1">IF(OR($A40="",TYPE(VLOOKUP($A40,Centrum!$D$3:$M$130,10,0))&gt;3),"",VLOOKUP(VLOOKUP($A40,Centrum!$D$3:$M$130,10,0),Centrum!$A$3:$CB$130,J$132,0))</f>
        <v>-27</v>
      </c>
      <c r="L40" s="333">
        <f ca="1">IF(OR($A40="",TYPE(VLOOKUP($A40,Centrum!$D$3:$M$130,10,0))&gt;3),"",VLOOKUP(VLOOKUP($A40,Centrum!$D$3:$M$130,10,0),Centrum!$A$3:$CB$130,L$132,0))</f>
        <v>7</v>
      </c>
      <c r="M40" s="333">
        <f ca="1">IF(OR($A40="",TYPE(VLOOKUP($A40,Centrum!$D$3:$M$130,10,0))&gt;3),"",VLOOKUP(VLOOKUP($A40,Centrum!$D$3:$M$130,10,0),Centrum!$A$3:$CB$130,M$132,0))</f>
        <v>33</v>
      </c>
      <c r="N40" s="333">
        <f ca="1">IF(OR($A40="",TYPE(VLOOKUP($A40,Centrum!$D$3:$M$130,10,0))&gt;3),"",VLOOKUP(VLOOKUP($A40,Centrum!$D$3:$M$130,10,0),Centrum!$A$3:$CB$130,N$132,0))</f>
        <v>20</v>
      </c>
      <c r="O40" s="333">
        <f ca="1">IF(OR($A40="",TYPE(VLOOKUP($A40,Centrum!$D$3:$M$130,10,0))&gt;3),"",VLOOKUP(VLOOKUP($A40,Centrum!$D$3:$M$130,10,0),Centrum!$A$3:$CB$130,O$132,0))</f>
        <v>23</v>
      </c>
      <c r="P40" s="333">
        <f ca="1">IF(OR($A40="",TYPE(VLOOKUP($A40,Centrum!$D$3:$M$130,10,0))&gt;3),"",VLOOKUP(VLOOKUP($A40,Centrum!$D$3:$M$130,10,0),Centrum!$A$3:$CB$130,P$132,0))</f>
        <v>0</v>
      </c>
      <c r="Q40" s="333">
        <f ca="1">IF(OR($A40="",TYPE(VLOOKUP($A40,Centrum!$D$3:$M$130,10,0))&gt;3),"",VLOOKUP(VLOOKUP($A40,Centrum!$D$3:$M$130,10,0),Centrum!$A$3:$CB$130,Q$132,0))</f>
        <v>0</v>
      </c>
      <c r="S40" s="333">
        <f ca="1">IF(OR($A40="",TYPE(VLOOKUP($A40,Centrum!$D$3:$M$130,10,0))&gt;3),"",VLOOKUP(VLOOKUP($A40,Centrum!$D$3:$M$130,10,0),Centrum!$A$3:$CB$130,S$132,0))</f>
        <v>7</v>
      </c>
      <c r="T40" s="333">
        <f ca="1">IF(OR($A40="",TYPE(VLOOKUP($A40,Centrum!$D$3:$M$130,10,0))&gt;3),"",VLOOKUP(VLOOKUP($A40,Centrum!$D$3:$M$130,10,0),Centrum!$A$3:$CB$130,T$132,0))</f>
        <v>0</v>
      </c>
      <c r="U40" s="333">
        <f ca="1">IF(OR($A40="",TYPE(VLOOKUP($A40,Centrum!$D$3:$M$130,10,0))&gt;3),"",VLOOKUP(VLOOKUP($A40,Centrum!$D$3:$M$130,10,0),Centrum!$A$3:$CB$130,U$132,0))</f>
        <v>-10</v>
      </c>
      <c r="AB40" s="333">
        <f ca="1">IF(OR($A40="",TYPE(VLOOKUP($A40,Centrum!$D$3:$M$130,10,0))&gt;3),"",VLOOKUP(VLOOKUP($A40,Centrum!$D$3:$M$130,10,0),Centrum!$A$3:$CB$130,AB$132,0))</f>
        <v>33</v>
      </c>
      <c r="AC40" s="333">
        <f ca="1">IF(OR($A40="",TYPE(VLOOKUP($A40,Centrum!$D$3:$M$130,10,0))&gt;3),"",VLOOKUP(VLOOKUP($A40,Centrum!$D$3:$M$130,10,0),Centrum!$A$3:$CB$130,AC$132,0))</f>
        <v>1</v>
      </c>
      <c r="AD40" s="333">
        <f ca="1">IF(OR($A40="",TYPE(VLOOKUP($A40,Centrum!$D$3:$M$130,10,0))&gt;3),"",VLOOKUP(VLOOKUP($A40,Centrum!$D$3:$M$130,10,0),Centrum!$A$3:$CB$130,AD$132,0))</f>
        <v>1</v>
      </c>
      <c r="AK40" s="333">
        <f ca="1">IF(OR($A40="",TYPE(VLOOKUP($A40,Centrum!$D$3:$M$130,10,0))&gt;3),"",VLOOKUP(VLOOKUP($A40,Centrum!$D$3:$M$130,10,0),Centrum!$A$3:$CB$130,AK$132,0))</f>
        <v>20</v>
      </c>
      <c r="AL40" s="333">
        <f ca="1">IF(OR($A40="",TYPE(VLOOKUP($A40,Centrum!$D$3:$M$130,10,0))&gt;3),"",VLOOKUP(VLOOKUP($A40,Centrum!$D$3:$M$130,10,0),Centrum!$A$3:$CB$130,AL$132,0))</f>
        <v>0</v>
      </c>
      <c r="AM40" s="333">
        <f ca="1">IF(OR($A40="",TYPE(VLOOKUP($A40,Centrum!$D$3:$M$130,10,0))&gt;3),"",VLOOKUP(VLOOKUP($A40,Centrum!$D$3:$M$130,10,0),Centrum!$A$3:$CB$130,AM$132,0))</f>
        <v>-9</v>
      </c>
      <c r="AT40" s="333">
        <f ca="1">IF(OR(OR($A40="",TYPE(VLOOKUP($A40,Centrum!$D$3:$M$130,10,0))&gt;3),$A$1&lt;4),"",VLOOKUP(VLOOKUP($A40,Centrum!$D$3:$M$130,10,0),Centrum!$A$3:$CB$130,AT$132,0))</f>
        <v>23</v>
      </c>
      <c r="AU40" s="333">
        <f ca="1">IF(OR(OR($A40="",TYPE(VLOOKUP($A40,Centrum!$D$3:$M$130,10,0))&gt;3),$A$1&lt;4),"",VLOOKUP(VLOOKUP($A40,Centrum!$D$3:$M$130,10,0),Centrum!$A$3:$CB$130,AU$132,0))</f>
        <v>0</v>
      </c>
      <c r="AV40" s="333">
        <f ca="1">IF(OR(OR($A40="",TYPE(VLOOKUP($A40,Centrum!$D$3:$M$130,10,0))&gt;3),$A$1&lt;4),"",VLOOKUP(VLOOKUP($A40,Centrum!$D$3:$M$130,10,0),Centrum!$A$3:$CB$130,AV$132,0))</f>
        <v>-9</v>
      </c>
      <c r="BC40" s="333" t="str">
        <f>IF(OR(OR($A40="",TYPE(VLOOKUP($A40,Centrum!$D$3:$M$130,10,0))&gt;3),$A$1&lt;5),"",VLOOKUP(VLOOKUP($A40,Centrum!$D$3:$M$130,10,0),Centrum!$A$3:$CB$130,BC$132,0))</f>
        <v/>
      </c>
      <c r="BD40" s="333" t="str">
        <f>IF(OR(OR($A40="",TYPE(VLOOKUP($A40,Centrum!$D$3:$M$130,10,0))&gt;3),$A$1&lt;5),"",VLOOKUP(VLOOKUP($A40,Centrum!$D$3:$M$130,10,0),Centrum!$A$3:$CB$130,BD$132,0))</f>
        <v/>
      </c>
      <c r="BE40" s="333" t="str">
        <f>IF(OR(OR($A40="",TYPE(VLOOKUP($A40,Centrum!$D$3:$M$130,10,0))&gt;3),$A$1&lt;5),"",VLOOKUP(VLOOKUP($A40,Centrum!$D$3:$M$130,10,0),Centrum!$A$3:$CB$130,BE$132,0))</f>
        <v/>
      </c>
      <c r="BL40" s="333" t="str">
        <f>IF(OR(OR($A40="",TYPE(VLOOKUP($A40,Centrum!$D$3:$M$130,10,0))&gt;3),$A$1&lt;6),"",VLOOKUP(VLOOKUP($A40,Centrum!$D$3:$M$130,10,0),Centrum!$A$3:$CB$130,BL$132,0))</f>
        <v/>
      </c>
      <c r="BM40" s="333" t="str">
        <f>IF(OR(OR($A40="",TYPE(VLOOKUP($A40,Centrum!$D$3:$M$130,10,0))&gt;3),$A$1&lt;6),"",VLOOKUP(VLOOKUP($A40,Centrum!$D$3:$M$130,10,0),Centrum!$A$3:$CB$130,BM$132,0))</f>
        <v/>
      </c>
      <c r="BN40" s="333" t="str">
        <f>IF(OR(OR($A40="",TYPE(VLOOKUP($A40,Centrum!$D$3:$M$130,10,0))&gt;3),$A$1&lt;6),"",VLOOKUP(VLOOKUP($A40,Centrum!$D$3:$M$130,10,0),Centrum!$A$3:$CB$130,BN$132,0))</f>
        <v/>
      </c>
    </row>
    <row r="41" spans="1:66" x14ac:dyDescent="0.25">
      <c r="A41" s="333">
        <f>Centrum!A41</f>
        <v>39</v>
      </c>
      <c r="B41" s="439" t="str">
        <f>IF(OR($A41="",TYPE(VLOOKUP($A41,Centrum!$D$3:$M$130,10,0))&gt;3),"",VLOOKUP(VLOOKUP(A41,Centrum!$D$3:$M$130,10,0),Centrum!$A$3:$CB$130,B$132,0))</f>
        <v>38 JAPKO - Stejskal Petr</v>
      </c>
      <c r="C41" s="333">
        <f>IF(OR($A41="",TYPE(VLOOKUP($A41,Centrum!$D$3:$M$130,10,0))&gt;3),"",VLOOKUP($A41,Centrum!$D$3:$M$130,10,0))</f>
        <v>38</v>
      </c>
      <c r="E41" s="333">
        <f ca="1">IF(OR($A41="",TYPE(VLOOKUP($A41,Centrum!$D$3:$M$130,10,0))&gt;3),"",VLOOKUP(VLOOKUP($A41,Centrum!$D$3:$M$130,10,0),Centrum!$A$3:$CB$130,E$132,0))</f>
        <v>1</v>
      </c>
      <c r="F41" s="333">
        <f ca="1">IF(OR($A41="",TYPE(VLOOKUP($A41,Centrum!$D$3:$M$130,10,0))&gt;3),"",VLOOKUP(VLOOKUP($A41,Centrum!$D$3:$M$130,10,0),Centrum!$A$3:$CB$130,F$132,0))</f>
        <v>8</v>
      </c>
      <c r="G41" s="333">
        <f ca="1">IF(OR($A41="",TYPE(VLOOKUP($A41,Centrum!$D$3:$M$130,10,0))&gt;3),"",VLOOKUP(VLOOKUP($A41,Centrum!$D$3:$M$130,10,0),Centrum!$A$3:$CB$130,G$132,0))</f>
        <v>29</v>
      </c>
      <c r="H41" s="333">
        <f ca="1">IF($A41="","",VLOOKUP(VLOOKUP($A41,Centrum!$D$3:$M$130,10,0),Centrum!$A$3:$CB$130,H$132,0))</f>
        <v>1</v>
      </c>
      <c r="I41" s="333">
        <f ca="1">IF($A41="","",VLOOKUP(VLOOKUP($A41,Centrum!$D$3:$M$130,10,0),Centrum!$A$3:$CB$130,I$132,0))</f>
        <v>1</v>
      </c>
      <c r="J41" s="333">
        <f ca="1">IF(OR($A41="",TYPE(VLOOKUP($A41,Centrum!$D$3:$M$130,10,0))&gt;3),"",VLOOKUP(VLOOKUP($A41,Centrum!$D$3:$M$130,10,0),Centrum!$A$3:$CB$130,J$132,0))</f>
        <v>-8</v>
      </c>
      <c r="L41" s="333">
        <f ca="1">IF(OR($A41="",TYPE(VLOOKUP($A41,Centrum!$D$3:$M$130,10,0))&gt;3),"",VLOOKUP(VLOOKUP($A41,Centrum!$D$3:$M$130,10,0),Centrum!$A$3:$CB$130,L$132,0))</f>
        <v>13</v>
      </c>
      <c r="M41" s="333">
        <f ca="1">IF(OR($A41="",TYPE(VLOOKUP($A41,Centrum!$D$3:$M$130,10,0))&gt;3),"",VLOOKUP(VLOOKUP($A41,Centrum!$D$3:$M$130,10,0),Centrum!$A$3:$CB$130,M$132,0))</f>
        <v>27</v>
      </c>
      <c r="N41" s="333">
        <f ca="1">IF(OR($A41="",TYPE(VLOOKUP($A41,Centrum!$D$3:$M$130,10,0))&gt;3),"",VLOOKUP(VLOOKUP($A41,Centrum!$D$3:$M$130,10,0),Centrum!$A$3:$CB$130,N$132,0))</f>
        <v>44</v>
      </c>
      <c r="O41" s="333">
        <f ca="1">IF(OR($A41="",TYPE(VLOOKUP($A41,Centrum!$D$3:$M$130,10,0))&gt;3),"",VLOOKUP(VLOOKUP($A41,Centrum!$D$3:$M$130,10,0),Centrum!$A$3:$CB$130,O$132,0))</f>
        <v>34</v>
      </c>
      <c r="P41" s="333">
        <f ca="1">IF(OR($A41="",TYPE(VLOOKUP($A41,Centrum!$D$3:$M$130,10,0))&gt;3),"",VLOOKUP(VLOOKUP($A41,Centrum!$D$3:$M$130,10,0),Centrum!$A$3:$CB$130,P$132,0))</f>
        <v>0</v>
      </c>
      <c r="Q41" s="333">
        <f ca="1">IF(OR($A41="",TYPE(VLOOKUP($A41,Centrum!$D$3:$M$130,10,0))&gt;3),"",VLOOKUP(VLOOKUP($A41,Centrum!$D$3:$M$130,10,0),Centrum!$A$3:$CB$130,Q$132,0))</f>
        <v>0</v>
      </c>
      <c r="S41" s="333">
        <f ca="1">IF(OR($A41="",TYPE(VLOOKUP($A41,Centrum!$D$3:$M$130,10,0))&gt;3),"",VLOOKUP(VLOOKUP($A41,Centrum!$D$3:$M$130,10,0),Centrum!$A$3:$CB$130,S$132,0))</f>
        <v>13</v>
      </c>
      <c r="T41" s="333">
        <f ca="1">IF(OR($A41="",TYPE(VLOOKUP($A41,Centrum!$D$3:$M$130,10,0))&gt;3),"",VLOOKUP(VLOOKUP($A41,Centrum!$D$3:$M$130,10,0),Centrum!$A$3:$CB$130,T$132,0))</f>
        <v>0</v>
      </c>
      <c r="U41" s="333">
        <f ca="1">IF(OR($A41="",TYPE(VLOOKUP($A41,Centrum!$D$3:$M$130,10,0))&gt;3),"",VLOOKUP(VLOOKUP($A41,Centrum!$D$3:$M$130,10,0),Centrum!$A$3:$CB$130,U$132,0))</f>
        <v>-4</v>
      </c>
      <c r="AB41" s="333">
        <f ca="1">IF(OR($A41="",TYPE(VLOOKUP($A41,Centrum!$D$3:$M$130,10,0))&gt;3),"",VLOOKUP(VLOOKUP($A41,Centrum!$D$3:$M$130,10,0),Centrum!$A$3:$CB$130,AB$132,0))</f>
        <v>27</v>
      </c>
      <c r="AC41" s="333">
        <f ca="1">IF(OR($A41="",TYPE(VLOOKUP($A41,Centrum!$D$3:$M$130,10,0))&gt;3),"",VLOOKUP(VLOOKUP($A41,Centrum!$D$3:$M$130,10,0),Centrum!$A$3:$CB$130,AC$132,0))</f>
        <v>1</v>
      </c>
      <c r="AD41" s="333">
        <f ca="1">IF(OR($A41="",TYPE(VLOOKUP($A41,Centrum!$D$3:$M$130,10,0))&gt;3),"",VLOOKUP(VLOOKUP($A41,Centrum!$D$3:$M$130,10,0),Centrum!$A$3:$CB$130,AD$132,0))</f>
        <v>4</v>
      </c>
      <c r="AK41" s="333">
        <f ca="1">IF(OR($A41="",TYPE(VLOOKUP($A41,Centrum!$D$3:$M$130,10,0))&gt;3),"",VLOOKUP(VLOOKUP($A41,Centrum!$D$3:$M$130,10,0),Centrum!$A$3:$CB$130,AK$132,0))</f>
        <v>44</v>
      </c>
      <c r="AL41" s="333">
        <f ca="1">IF(OR($A41="",TYPE(VLOOKUP($A41,Centrum!$D$3:$M$130,10,0))&gt;3),"",VLOOKUP(VLOOKUP($A41,Centrum!$D$3:$M$130,10,0),Centrum!$A$3:$CB$130,AL$132,0))</f>
        <v>0</v>
      </c>
      <c r="AM41" s="333">
        <f ca="1">IF(OR($A41="",TYPE(VLOOKUP($A41,Centrum!$D$3:$M$130,10,0))&gt;3),"",VLOOKUP(VLOOKUP($A41,Centrum!$D$3:$M$130,10,0),Centrum!$A$3:$CB$130,AM$132,0))</f>
        <v>-1</v>
      </c>
      <c r="AT41" s="333">
        <f ca="1">IF(OR(OR($A41="",TYPE(VLOOKUP($A41,Centrum!$D$3:$M$130,10,0))&gt;3),$A$1&lt;4),"",VLOOKUP(VLOOKUP($A41,Centrum!$D$3:$M$130,10,0),Centrum!$A$3:$CB$130,AT$132,0))</f>
        <v>34</v>
      </c>
      <c r="AU41" s="333">
        <f ca="1">IF(OR(OR($A41="",TYPE(VLOOKUP($A41,Centrum!$D$3:$M$130,10,0))&gt;3),$A$1&lt;4),"",VLOOKUP(VLOOKUP($A41,Centrum!$D$3:$M$130,10,0),Centrum!$A$3:$CB$130,AU$132,0))</f>
        <v>0</v>
      </c>
      <c r="AV41" s="333">
        <f ca="1">IF(OR(OR($A41="",TYPE(VLOOKUP($A41,Centrum!$D$3:$M$130,10,0))&gt;3),$A$1&lt;4),"",VLOOKUP(VLOOKUP($A41,Centrum!$D$3:$M$130,10,0),Centrum!$A$3:$CB$130,AV$132,0))</f>
        <v>-7</v>
      </c>
      <c r="BC41" s="333" t="str">
        <f>IF(OR(OR($A41="",TYPE(VLOOKUP($A41,Centrum!$D$3:$M$130,10,0))&gt;3),$A$1&lt;5),"",VLOOKUP(VLOOKUP($A41,Centrum!$D$3:$M$130,10,0),Centrum!$A$3:$CB$130,BC$132,0))</f>
        <v/>
      </c>
      <c r="BD41" s="333" t="str">
        <f>IF(OR(OR($A41="",TYPE(VLOOKUP($A41,Centrum!$D$3:$M$130,10,0))&gt;3),$A$1&lt;5),"",VLOOKUP(VLOOKUP($A41,Centrum!$D$3:$M$130,10,0),Centrum!$A$3:$CB$130,BD$132,0))</f>
        <v/>
      </c>
      <c r="BE41" s="333" t="str">
        <f>IF(OR(OR($A41="",TYPE(VLOOKUP($A41,Centrum!$D$3:$M$130,10,0))&gt;3),$A$1&lt;5),"",VLOOKUP(VLOOKUP($A41,Centrum!$D$3:$M$130,10,0),Centrum!$A$3:$CB$130,BE$132,0))</f>
        <v/>
      </c>
      <c r="BL41" s="333" t="str">
        <f>IF(OR(OR($A41="",TYPE(VLOOKUP($A41,Centrum!$D$3:$M$130,10,0))&gt;3),$A$1&lt;6),"",VLOOKUP(VLOOKUP($A41,Centrum!$D$3:$M$130,10,0),Centrum!$A$3:$CB$130,BL$132,0))</f>
        <v/>
      </c>
      <c r="BM41" s="333" t="str">
        <f>IF(OR(OR($A41="",TYPE(VLOOKUP($A41,Centrum!$D$3:$M$130,10,0))&gt;3),$A$1&lt;6),"",VLOOKUP(VLOOKUP($A41,Centrum!$D$3:$M$130,10,0),Centrum!$A$3:$CB$130,BM$132,0))</f>
        <v/>
      </c>
      <c r="BN41" s="333" t="str">
        <f>IF(OR(OR($A41="",TYPE(VLOOKUP($A41,Centrum!$D$3:$M$130,10,0))&gt;3),$A$1&lt;6),"",VLOOKUP(VLOOKUP($A41,Centrum!$D$3:$M$130,10,0),Centrum!$A$3:$CB$130,BN$132,0))</f>
        <v/>
      </c>
    </row>
    <row r="42" spans="1:66" x14ac:dyDescent="0.25">
      <c r="A42" s="333">
        <f>Centrum!A42</f>
        <v>40</v>
      </c>
      <c r="B42" s="439" t="str">
        <f>IF(OR($A42="",TYPE(VLOOKUP($A42,Centrum!$D$3:$M$130,10,0))&gt;3),"",VLOOKUP(VLOOKUP(A42,Centrum!$D$3:$M$130,10,0),Centrum!$A$3:$CB$130,B$132,0))</f>
        <v>28 C.T.P. Club Ořech - Leiský Leander</v>
      </c>
      <c r="C42" s="333">
        <f>IF(OR($A42="",TYPE(VLOOKUP($A42,Centrum!$D$3:$M$130,10,0))&gt;3),"",VLOOKUP($A42,Centrum!$D$3:$M$130,10,0))</f>
        <v>28</v>
      </c>
      <c r="E42" s="333">
        <f ca="1">IF(OR($A42="",TYPE(VLOOKUP($A42,Centrum!$D$3:$M$130,10,0))&gt;3),"",VLOOKUP(VLOOKUP($A42,Centrum!$D$3:$M$130,10,0),Centrum!$A$3:$CB$130,E$132,0))</f>
        <v>1</v>
      </c>
      <c r="F42" s="333">
        <f ca="1">IF(OR($A42="",TYPE(VLOOKUP($A42,Centrum!$D$3:$M$130,10,0))&gt;3),"",VLOOKUP(VLOOKUP($A42,Centrum!$D$3:$M$130,10,0),Centrum!$A$3:$CB$130,F$132,0))</f>
        <v>8</v>
      </c>
      <c r="G42" s="333">
        <f ca="1">IF(OR($A42="",TYPE(VLOOKUP($A42,Centrum!$D$3:$M$130,10,0))&gt;3),"",VLOOKUP(VLOOKUP($A42,Centrum!$D$3:$M$130,10,0),Centrum!$A$3:$CB$130,G$132,0))</f>
        <v>29</v>
      </c>
      <c r="H42" s="333">
        <f ca="1">IF($A42="","",VLOOKUP(VLOOKUP($A42,Centrum!$D$3:$M$130,10,0),Centrum!$A$3:$CB$130,H$132,0))</f>
        <v>0</v>
      </c>
      <c r="I42" s="333">
        <f ca="1">IF($A42="","",VLOOKUP(VLOOKUP($A42,Centrum!$D$3:$M$130,10,0),Centrum!$A$3:$CB$130,I$132,0))</f>
        <v>1</v>
      </c>
      <c r="J42" s="333">
        <f ca="1">IF(OR($A42="",TYPE(VLOOKUP($A42,Centrum!$D$3:$M$130,10,0))&gt;3),"",VLOOKUP(VLOOKUP($A42,Centrum!$D$3:$M$130,10,0),Centrum!$A$3:$CB$130,J$132,0))</f>
        <v>-21</v>
      </c>
      <c r="L42" s="333">
        <f ca="1">IF(OR($A42="",TYPE(VLOOKUP($A42,Centrum!$D$3:$M$130,10,0))&gt;3),"",VLOOKUP(VLOOKUP($A42,Centrum!$D$3:$M$130,10,0),Centrum!$A$3:$CB$130,L$132,0))</f>
        <v>3</v>
      </c>
      <c r="M42" s="333">
        <f ca="1">IF(OR($A42="",TYPE(VLOOKUP($A42,Centrum!$D$3:$M$130,10,0))&gt;3),"",VLOOKUP(VLOOKUP($A42,Centrum!$D$3:$M$130,10,0),Centrum!$A$3:$CB$130,M$132,0))</f>
        <v>30</v>
      </c>
      <c r="N42" s="333">
        <f ca="1">IF(OR($A42="",TYPE(VLOOKUP($A42,Centrum!$D$3:$M$130,10,0))&gt;3),"",VLOOKUP(VLOOKUP($A42,Centrum!$D$3:$M$130,10,0),Centrum!$A$3:$CB$130,N$132,0))</f>
        <v>12</v>
      </c>
      <c r="O42" s="333">
        <f ca="1">IF(OR($A42="",TYPE(VLOOKUP($A42,Centrum!$D$3:$M$130,10,0))&gt;3),"",VLOOKUP(VLOOKUP($A42,Centrum!$D$3:$M$130,10,0),Centrum!$A$3:$CB$130,O$132,0))</f>
        <v>5</v>
      </c>
      <c r="P42" s="333">
        <f ca="1">IF(OR($A42="",TYPE(VLOOKUP($A42,Centrum!$D$3:$M$130,10,0))&gt;3),"",VLOOKUP(VLOOKUP($A42,Centrum!$D$3:$M$130,10,0),Centrum!$A$3:$CB$130,P$132,0))</f>
        <v>0</v>
      </c>
      <c r="Q42" s="333">
        <f ca="1">IF(OR($A42="",TYPE(VLOOKUP($A42,Centrum!$D$3:$M$130,10,0))&gt;3),"",VLOOKUP(VLOOKUP($A42,Centrum!$D$3:$M$130,10,0),Centrum!$A$3:$CB$130,Q$132,0))</f>
        <v>0</v>
      </c>
      <c r="S42" s="333">
        <f ca="1">IF(OR($A42="",TYPE(VLOOKUP($A42,Centrum!$D$3:$M$130,10,0))&gt;3),"",VLOOKUP(VLOOKUP($A42,Centrum!$D$3:$M$130,10,0),Centrum!$A$3:$CB$130,S$132,0))</f>
        <v>3</v>
      </c>
      <c r="T42" s="333">
        <f ca="1">IF(OR($A42="",TYPE(VLOOKUP($A42,Centrum!$D$3:$M$130,10,0))&gt;3),"",VLOOKUP(VLOOKUP($A42,Centrum!$D$3:$M$130,10,0),Centrum!$A$3:$CB$130,T$132,0))</f>
        <v>0</v>
      </c>
      <c r="U42" s="333">
        <f ca="1">IF(OR($A42="",TYPE(VLOOKUP($A42,Centrum!$D$3:$M$130,10,0))&gt;3),"",VLOOKUP(VLOOKUP($A42,Centrum!$D$3:$M$130,10,0),Centrum!$A$3:$CB$130,U$132,0))</f>
        <v>-11</v>
      </c>
      <c r="AB42" s="333">
        <f ca="1">IF(OR($A42="",TYPE(VLOOKUP($A42,Centrum!$D$3:$M$130,10,0))&gt;3),"",VLOOKUP(VLOOKUP($A42,Centrum!$D$3:$M$130,10,0),Centrum!$A$3:$CB$130,AB$132,0))</f>
        <v>30</v>
      </c>
      <c r="AC42" s="333">
        <f ca="1">IF(OR($A42="",TYPE(VLOOKUP($A42,Centrum!$D$3:$M$130,10,0))&gt;3),"",VLOOKUP(VLOOKUP($A42,Centrum!$D$3:$M$130,10,0),Centrum!$A$3:$CB$130,AC$132,0))</f>
        <v>1</v>
      </c>
      <c r="AD42" s="333">
        <f ca="1">IF(OR($A42="",TYPE(VLOOKUP($A42,Centrum!$D$3:$M$130,10,0))&gt;3),"",VLOOKUP(VLOOKUP($A42,Centrum!$D$3:$M$130,10,0),Centrum!$A$3:$CB$130,AD$132,0))</f>
        <v>9</v>
      </c>
      <c r="AK42" s="333">
        <f ca="1">IF(OR($A42="",TYPE(VLOOKUP($A42,Centrum!$D$3:$M$130,10,0))&gt;3),"",VLOOKUP(VLOOKUP($A42,Centrum!$D$3:$M$130,10,0),Centrum!$A$3:$CB$130,AK$132,0))</f>
        <v>12</v>
      </c>
      <c r="AL42" s="333">
        <f ca="1">IF(OR($A42="",TYPE(VLOOKUP($A42,Centrum!$D$3:$M$130,10,0))&gt;3),"",VLOOKUP(VLOOKUP($A42,Centrum!$D$3:$M$130,10,0),Centrum!$A$3:$CB$130,AL$132,0))</f>
        <v>0</v>
      </c>
      <c r="AM42" s="333">
        <f ca="1">IF(OR($A42="",TYPE(VLOOKUP($A42,Centrum!$D$3:$M$130,10,0))&gt;3),"",VLOOKUP(VLOOKUP($A42,Centrum!$D$3:$M$130,10,0),Centrum!$A$3:$CB$130,AM$132,0))</f>
        <v>-10</v>
      </c>
      <c r="AT42" s="333">
        <f ca="1">IF(OR(OR($A42="",TYPE(VLOOKUP($A42,Centrum!$D$3:$M$130,10,0))&gt;3),$A$1&lt;4),"",VLOOKUP(VLOOKUP($A42,Centrum!$D$3:$M$130,10,0),Centrum!$A$3:$CB$130,AT$132,0))</f>
        <v>5</v>
      </c>
      <c r="AU42" s="333">
        <f ca="1">IF(OR(OR($A42="",TYPE(VLOOKUP($A42,Centrum!$D$3:$M$130,10,0))&gt;3),$A$1&lt;4),"",VLOOKUP(VLOOKUP($A42,Centrum!$D$3:$M$130,10,0),Centrum!$A$3:$CB$130,AU$132,0))</f>
        <v>0</v>
      </c>
      <c r="AV42" s="333">
        <f ca="1">IF(OR(OR($A42="",TYPE(VLOOKUP($A42,Centrum!$D$3:$M$130,10,0))&gt;3),$A$1&lt;4),"",VLOOKUP(VLOOKUP($A42,Centrum!$D$3:$M$130,10,0),Centrum!$A$3:$CB$130,AV$132,0))</f>
        <v>-9</v>
      </c>
      <c r="BC42" s="333" t="str">
        <f>IF(OR(OR($A42="",TYPE(VLOOKUP($A42,Centrum!$D$3:$M$130,10,0))&gt;3),$A$1&lt;5),"",VLOOKUP(VLOOKUP($A42,Centrum!$D$3:$M$130,10,0),Centrum!$A$3:$CB$130,BC$132,0))</f>
        <v/>
      </c>
      <c r="BD42" s="333" t="str">
        <f>IF(OR(OR($A42="",TYPE(VLOOKUP($A42,Centrum!$D$3:$M$130,10,0))&gt;3),$A$1&lt;5),"",VLOOKUP(VLOOKUP($A42,Centrum!$D$3:$M$130,10,0),Centrum!$A$3:$CB$130,BD$132,0))</f>
        <v/>
      </c>
      <c r="BE42" s="333" t="str">
        <f>IF(OR(OR($A42="",TYPE(VLOOKUP($A42,Centrum!$D$3:$M$130,10,0))&gt;3),$A$1&lt;5),"",VLOOKUP(VLOOKUP($A42,Centrum!$D$3:$M$130,10,0),Centrum!$A$3:$CB$130,BE$132,0))</f>
        <v/>
      </c>
      <c r="BL42" s="333" t="str">
        <f>IF(OR(OR($A42="",TYPE(VLOOKUP($A42,Centrum!$D$3:$M$130,10,0))&gt;3),$A$1&lt;6),"",VLOOKUP(VLOOKUP($A42,Centrum!$D$3:$M$130,10,0),Centrum!$A$3:$CB$130,BL$132,0))</f>
        <v/>
      </c>
      <c r="BM42" s="333" t="str">
        <f>IF(OR(OR($A42="",TYPE(VLOOKUP($A42,Centrum!$D$3:$M$130,10,0))&gt;3),$A$1&lt;6),"",VLOOKUP(VLOOKUP($A42,Centrum!$D$3:$M$130,10,0),Centrum!$A$3:$CB$130,BM$132,0))</f>
        <v/>
      </c>
      <c r="BN42" s="333" t="str">
        <f>IF(OR(OR($A42="",TYPE(VLOOKUP($A42,Centrum!$D$3:$M$130,10,0))&gt;3),$A$1&lt;6),"",VLOOKUP(VLOOKUP($A42,Centrum!$D$3:$M$130,10,0),Centrum!$A$3:$CB$130,BN$132,0))</f>
        <v/>
      </c>
    </row>
    <row r="43" spans="1:66" x14ac:dyDescent="0.25">
      <c r="A43" s="333">
        <f>Centrum!A43</f>
        <v>41</v>
      </c>
      <c r="B43" s="439" t="str">
        <f>IF(OR($A43="",TYPE(VLOOKUP($A43,Centrum!$D$3:$M$130,10,0))&gt;3),"",VLOOKUP(VLOOKUP(A43,Centrum!$D$3:$M$130,10,0),Centrum!$A$3:$CB$130,B$132,0))</f>
        <v>27 Sokol Kostomlaty - Hercoková Milena</v>
      </c>
      <c r="C43" s="333">
        <f>IF(OR($A43="",TYPE(VLOOKUP($A43,Centrum!$D$3:$M$130,10,0))&gt;3),"",VLOOKUP($A43,Centrum!$D$3:$M$130,10,0))</f>
        <v>27</v>
      </c>
      <c r="E43" s="333">
        <f ca="1">IF(OR($A43="",TYPE(VLOOKUP($A43,Centrum!$D$3:$M$130,10,0))&gt;3),"",VLOOKUP(VLOOKUP($A43,Centrum!$D$3:$M$130,10,0),Centrum!$A$3:$CB$130,E$132,0))</f>
        <v>1</v>
      </c>
      <c r="F43" s="333">
        <f ca="1">IF(OR($A43="",TYPE(VLOOKUP($A43,Centrum!$D$3:$M$130,10,0))&gt;3),"",VLOOKUP(VLOOKUP($A43,Centrum!$D$3:$M$130,10,0),Centrum!$A$3:$CB$130,F$132,0))</f>
        <v>8</v>
      </c>
      <c r="G43" s="333">
        <f ca="1">IF(OR($A43="",TYPE(VLOOKUP($A43,Centrum!$D$3:$M$130,10,0))&gt;3),"",VLOOKUP(VLOOKUP($A43,Centrum!$D$3:$M$130,10,0),Centrum!$A$3:$CB$130,G$132,0))</f>
        <v>27</v>
      </c>
      <c r="H43" s="333">
        <f ca="1">IF($A43="","",VLOOKUP(VLOOKUP($A43,Centrum!$D$3:$M$130,10,0),Centrum!$A$3:$CB$130,H$132,0))</f>
        <v>1</v>
      </c>
      <c r="I43" s="333">
        <f ca="1">IF($A43="","",VLOOKUP(VLOOKUP($A43,Centrum!$D$3:$M$130,10,0),Centrum!$A$3:$CB$130,I$132,0))</f>
        <v>1</v>
      </c>
      <c r="J43" s="333">
        <f ca="1">IF(OR($A43="",TYPE(VLOOKUP($A43,Centrum!$D$3:$M$130,10,0))&gt;3),"",VLOOKUP(VLOOKUP($A43,Centrum!$D$3:$M$130,10,0),Centrum!$A$3:$CB$130,J$132,0))</f>
        <v>-8</v>
      </c>
      <c r="L43" s="333">
        <f ca="1">IF(OR($A43="",TYPE(VLOOKUP($A43,Centrum!$D$3:$M$130,10,0))&gt;3),"",VLOOKUP(VLOOKUP($A43,Centrum!$D$3:$M$130,10,0),Centrum!$A$3:$CB$130,L$132,0))</f>
        <v>2</v>
      </c>
      <c r="M43" s="333">
        <f ca="1">IF(OR($A43="",TYPE(VLOOKUP($A43,Centrum!$D$3:$M$130,10,0))&gt;3),"",VLOOKUP(VLOOKUP($A43,Centrum!$D$3:$M$130,10,0),Centrum!$A$3:$CB$130,M$132,0))</f>
        <v>38</v>
      </c>
      <c r="N43" s="333">
        <f ca="1">IF(OR($A43="",TYPE(VLOOKUP($A43,Centrum!$D$3:$M$130,10,0))&gt;3),"",VLOOKUP(VLOOKUP($A43,Centrum!$D$3:$M$130,10,0),Centrum!$A$3:$CB$130,N$132,0))</f>
        <v>33</v>
      </c>
      <c r="O43" s="333">
        <f ca="1">IF(OR($A43="",TYPE(VLOOKUP($A43,Centrum!$D$3:$M$130,10,0))&gt;3),"",VLOOKUP(VLOOKUP($A43,Centrum!$D$3:$M$130,10,0),Centrum!$A$3:$CB$130,O$132,0))</f>
        <v>51</v>
      </c>
      <c r="P43" s="333">
        <f ca="1">IF(OR($A43="",TYPE(VLOOKUP($A43,Centrum!$D$3:$M$130,10,0))&gt;3),"",VLOOKUP(VLOOKUP($A43,Centrum!$D$3:$M$130,10,0),Centrum!$A$3:$CB$130,P$132,0))</f>
        <v>0</v>
      </c>
      <c r="Q43" s="333">
        <f ca="1">IF(OR($A43="",TYPE(VLOOKUP($A43,Centrum!$D$3:$M$130,10,0))&gt;3),"",VLOOKUP(VLOOKUP($A43,Centrum!$D$3:$M$130,10,0),Centrum!$A$3:$CB$130,Q$132,0))</f>
        <v>0</v>
      </c>
      <c r="S43" s="333">
        <f ca="1">IF(OR($A43="",TYPE(VLOOKUP($A43,Centrum!$D$3:$M$130,10,0))&gt;3),"",VLOOKUP(VLOOKUP($A43,Centrum!$D$3:$M$130,10,0),Centrum!$A$3:$CB$130,S$132,0))</f>
        <v>2</v>
      </c>
      <c r="T43" s="333">
        <f ca="1">IF(OR($A43="",TYPE(VLOOKUP($A43,Centrum!$D$3:$M$130,10,0))&gt;3),"",VLOOKUP(VLOOKUP($A43,Centrum!$D$3:$M$130,10,0),Centrum!$A$3:$CB$130,T$132,0))</f>
        <v>0</v>
      </c>
      <c r="U43" s="333">
        <f ca="1">IF(OR($A43="",TYPE(VLOOKUP($A43,Centrum!$D$3:$M$130,10,0))&gt;3),"",VLOOKUP(VLOOKUP($A43,Centrum!$D$3:$M$130,10,0),Centrum!$A$3:$CB$130,U$132,0))</f>
        <v>-8</v>
      </c>
      <c r="AB43" s="333">
        <f ca="1">IF(OR($A43="",TYPE(VLOOKUP($A43,Centrum!$D$3:$M$130,10,0))&gt;3),"",VLOOKUP(VLOOKUP($A43,Centrum!$D$3:$M$130,10,0),Centrum!$A$3:$CB$130,AB$132,0))</f>
        <v>38</v>
      </c>
      <c r="AC43" s="333">
        <f ca="1">IF(OR($A43="",TYPE(VLOOKUP($A43,Centrum!$D$3:$M$130,10,0))&gt;3),"",VLOOKUP(VLOOKUP($A43,Centrum!$D$3:$M$130,10,0),Centrum!$A$3:$CB$130,AC$132,0))</f>
        <v>0</v>
      </c>
      <c r="AD43" s="333">
        <f ca="1">IF(OR($A43="",TYPE(VLOOKUP($A43,Centrum!$D$3:$M$130,10,0))&gt;3),"",VLOOKUP(VLOOKUP($A43,Centrum!$D$3:$M$130,10,0),Centrum!$A$3:$CB$130,AD$132,0))</f>
        <v>-4</v>
      </c>
      <c r="AK43" s="333">
        <f ca="1">IF(OR($A43="",TYPE(VLOOKUP($A43,Centrum!$D$3:$M$130,10,0))&gt;3),"",VLOOKUP(VLOOKUP($A43,Centrum!$D$3:$M$130,10,0),Centrum!$A$3:$CB$130,AK$132,0))</f>
        <v>33</v>
      </c>
      <c r="AL43" s="333">
        <f ca="1">IF(OR($A43="",TYPE(VLOOKUP($A43,Centrum!$D$3:$M$130,10,0))&gt;3),"",VLOOKUP(VLOOKUP($A43,Centrum!$D$3:$M$130,10,0),Centrum!$A$3:$CB$130,AL$132,0))</f>
        <v>1</v>
      </c>
      <c r="AM43" s="333">
        <f ca="1">IF(OR($A43="",TYPE(VLOOKUP($A43,Centrum!$D$3:$M$130,10,0))&gt;3),"",VLOOKUP(VLOOKUP($A43,Centrum!$D$3:$M$130,10,0),Centrum!$A$3:$CB$130,AM$132,0))</f>
        <v>10</v>
      </c>
      <c r="AT43" s="333">
        <f ca="1">IF(OR(OR($A43="",TYPE(VLOOKUP($A43,Centrum!$D$3:$M$130,10,0))&gt;3),$A$1&lt;4),"",VLOOKUP(VLOOKUP($A43,Centrum!$D$3:$M$130,10,0),Centrum!$A$3:$CB$130,AT$132,0))</f>
        <v>51</v>
      </c>
      <c r="AU43" s="333">
        <f ca="1">IF(OR(OR($A43="",TYPE(VLOOKUP($A43,Centrum!$D$3:$M$130,10,0))&gt;3),$A$1&lt;4),"",VLOOKUP(VLOOKUP($A43,Centrum!$D$3:$M$130,10,0),Centrum!$A$3:$CB$130,AU$132,0))</f>
        <v>0</v>
      </c>
      <c r="AV43" s="333">
        <f ca="1">IF(OR(OR($A43="",TYPE(VLOOKUP($A43,Centrum!$D$3:$M$130,10,0))&gt;3),$A$1&lt;4),"",VLOOKUP(VLOOKUP($A43,Centrum!$D$3:$M$130,10,0),Centrum!$A$3:$CB$130,AV$132,0))</f>
        <v>-6</v>
      </c>
      <c r="BC43" s="333" t="str">
        <f>IF(OR(OR($A43="",TYPE(VLOOKUP($A43,Centrum!$D$3:$M$130,10,0))&gt;3),$A$1&lt;5),"",VLOOKUP(VLOOKUP($A43,Centrum!$D$3:$M$130,10,0),Centrum!$A$3:$CB$130,BC$132,0))</f>
        <v/>
      </c>
      <c r="BD43" s="333" t="str">
        <f>IF(OR(OR($A43="",TYPE(VLOOKUP($A43,Centrum!$D$3:$M$130,10,0))&gt;3),$A$1&lt;5),"",VLOOKUP(VLOOKUP($A43,Centrum!$D$3:$M$130,10,0),Centrum!$A$3:$CB$130,BD$132,0))</f>
        <v/>
      </c>
      <c r="BE43" s="333" t="str">
        <f>IF(OR(OR($A43="",TYPE(VLOOKUP($A43,Centrum!$D$3:$M$130,10,0))&gt;3),$A$1&lt;5),"",VLOOKUP(VLOOKUP($A43,Centrum!$D$3:$M$130,10,0),Centrum!$A$3:$CB$130,BE$132,0))</f>
        <v/>
      </c>
      <c r="BL43" s="333" t="str">
        <f>IF(OR(OR($A43="",TYPE(VLOOKUP($A43,Centrum!$D$3:$M$130,10,0))&gt;3),$A$1&lt;6),"",VLOOKUP(VLOOKUP($A43,Centrum!$D$3:$M$130,10,0),Centrum!$A$3:$CB$130,BL$132,0))</f>
        <v/>
      </c>
      <c r="BM43" s="333" t="str">
        <f>IF(OR(OR($A43="",TYPE(VLOOKUP($A43,Centrum!$D$3:$M$130,10,0))&gt;3),$A$1&lt;6),"",VLOOKUP(VLOOKUP($A43,Centrum!$D$3:$M$130,10,0),Centrum!$A$3:$CB$130,BM$132,0))</f>
        <v/>
      </c>
      <c r="BN43" s="333" t="str">
        <f>IF(OR(OR($A43="",TYPE(VLOOKUP($A43,Centrum!$D$3:$M$130,10,0))&gt;3),$A$1&lt;6),"",VLOOKUP(VLOOKUP($A43,Centrum!$D$3:$M$130,10,0),Centrum!$A$3:$CB$130,BN$132,0))</f>
        <v/>
      </c>
    </row>
    <row r="44" spans="1:66" x14ac:dyDescent="0.25">
      <c r="A44" s="333">
        <f>Centrum!A44</f>
        <v>42</v>
      </c>
      <c r="B44" s="439" t="str">
        <f>IF(OR($A44="",TYPE(VLOOKUP($A44,Centrum!$D$3:$M$130,10,0))&gt;3),"",VLOOKUP(VLOOKUP(A44,Centrum!$D$3:$M$130,10,0),Centrum!$A$3:$CB$130,B$132,0))</f>
        <v>39 C.T.P. Club Ořech - Glaser Vladimír</v>
      </c>
      <c r="C44" s="333">
        <f>IF(OR($A44="",TYPE(VLOOKUP($A44,Centrum!$D$3:$M$130,10,0))&gt;3),"",VLOOKUP($A44,Centrum!$D$3:$M$130,10,0))</f>
        <v>39</v>
      </c>
      <c r="E44" s="333">
        <f ca="1">IF(OR($A44="",TYPE(VLOOKUP($A44,Centrum!$D$3:$M$130,10,0))&gt;3),"",VLOOKUP(VLOOKUP($A44,Centrum!$D$3:$M$130,10,0),Centrum!$A$3:$CB$130,E$132,0))</f>
        <v>1</v>
      </c>
      <c r="F44" s="333">
        <f ca="1">IF(OR($A44="",TYPE(VLOOKUP($A44,Centrum!$D$3:$M$130,10,0))&gt;3),"",VLOOKUP(VLOOKUP($A44,Centrum!$D$3:$M$130,10,0),Centrum!$A$3:$CB$130,F$132,0))</f>
        <v>7</v>
      </c>
      <c r="G44" s="333">
        <f ca="1">IF(OR($A44="",TYPE(VLOOKUP($A44,Centrum!$D$3:$M$130,10,0))&gt;3),"",VLOOKUP(VLOOKUP($A44,Centrum!$D$3:$M$130,10,0),Centrum!$A$3:$CB$130,G$132,0))</f>
        <v>30</v>
      </c>
      <c r="H44" s="333">
        <f ca="1">IF($A44="","",VLOOKUP(VLOOKUP($A44,Centrum!$D$3:$M$130,10,0),Centrum!$A$3:$CB$130,H$132,0))</f>
        <v>0</v>
      </c>
      <c r="I44" s="333">
        <f ca="1">IF($A44="","",VLOOKUP(VLOOKUP($A44,Centrum!$D$3:$M$130,10,0),Centrum!$A$3:$CB$130,I$132,0))</f>
        <v>1</v>
      </c>
      <c r="J44" s="333">
        <f ca="1">IF(OR($A44="",TYPE(VLOOKUP($A44,Centrum!$D$3:$M$130,10,0))&gt;3),"",VLOOKUP(VLOOKUP($A44,Centrum!$D$3:$M$130,10,0),Centrum!$A$3:$CB$130,J$132,0))</f>
        <v>-11</v>
      </c>
      <c r="L44" s="333">
        <f ca="1">IF(OR($A44="",TYPE(VLOOKUP($A44,Centrum!$D$3:$M$130,10,0))&gt;3),"",VLOOKUP(VLOOKUP($A44,Centrum!$D$3:$M$130,10,0),Centrum!$A$3:$CB$130,L$132,0))</f>
        <v>14</v>
      </c>
      <c r="M44" s="333">
        <f ca="1">IF(OR($A44="",TYPE(VLOOKUP($A44,Centrum!$D$3:$M$130,10,0))&gt;3),"",VLOOKUP(VLOOKUP($A44,Centrum!$D$3:$M$130,10,0),Centrum!$A$3:$CB$130,M$132,0))</f>
        <v>25</v>
      </c>
      <c r="N44" s="333">
        <f ca="1">IF(OR($A44="",TYPE(VLOOKUP($A44,Centrum!$D$3:$M$130,10,0))&gt;3),"",VLOOKUP(VLOOKUP($A44,Centrum!$D$3:$M$130,10,0),Centrum!$A$3:$CB$130,N$132,0))</f>
        <v>10</v>
      </c>
      <c r="O44" s="333">
        <f ca="1">IF(OR($A44="",TYPE(VLOOKUP($A44,Centrum!$D$3:$M$130,10,0))&gt;3),"",VLOOKUP(VLOOKUP($A44,Centrum!$D$3:$M$130,10,0),Centrum!$A$3:$CB$130,O$132,0))</f>
        <v>36</v>
      </c>
      <c r="P44" s="333">
        <f ca="1">IF(OR($A44="",TYPE(VLOOKUP($A44,Centrum!$D$3:$M$130,10,0))&gt;3),"",VLOOKUP(VLOOKUP($A44,Centrum!$D$3:$M$130,10,0),Centrum!$A$3:$CB$130,P$132,0))</f>
        <v>0</v>
      </c>
      <c r="Q44" s="333">
        <f ca="1">IF(OR($A44="",TYPE(VLOOKUP($A44,Centrum!$D$3:$M$130,10,0))&gt;3),"",VLOOKUP(VLOOKUP($A44,Centrum!$D$3:$M$130,10,0),Centrum!$A$3:$CB$130,Q$132,0))</f>
        <v>0</v>
      </c>
      <c r="S44" s="333">
        <f ca="1">IF(OR($A44="",TYPE(VLOOKUP($A44,Centrum!$D$3:$M$130,10,0))&gt;3),"",VLOOKUP(VLOOKUP($A44,Centrum!$D$3:$M$130,10,0),Centrum!$A$3:$CB$130,S$132,0))</f>
        <v>14</v>
      </c>
      <c r="T44" s="333">
        <f ca="1">IF(OR($A44="",TYPE(VLOOKUP($A44,Centrum!$D$3:$M$130,10,0))&gt;3),"",VLOOKUP(VLOOKUP($A44,Centrum!$D$3:$M$130,10,0),Centrum!$A$3:$CB$130,T$132,0))</f>
        <v>0</v>
      </c>
      <c r="U44" s="333">
        <f ca="1">IF(OR($A44="",TYPE(VLOOKUP($A44,Centrum!$D$3:$M$130,10,0))&gt;3),"",VLOOKUP(VLOOKUP($A44,Centrum!$D$3:$M$130,10,0),Centrum!$A$3:$CB$130,U$132,0))</f>
        <v>-6</v>
      </c>
      <c r="AB44" s="333">
        <f ca="1">IF(OR($A44="",TYPE(VLOOKUP($A44,Centrum!$D$3:$M$130,10,0))&gt;3),"",VLOOKUP(VLOOKUP($A44,Centrum!$D$3:$M$130,10,0),Centrum!$A$3:$CB$130,AB$132,0))</f>
        <v>25</v>
      </c>
      <c r="AC44" s="333">
        <f ca="1">IF(OR($A44="",TYPE(VLOOKUP($A44,Centrum!$D$3:$M$130,10,0))&gt;3),"",VLOOKUP(VLOOKUP($A44,Centrum!$D$3:$M$130,10,0),Centrum!$A$3:$CB$130,AC$132,0))</f>
        <v>0</v>
      </c>
      <c r="AD44" s="333">
        <f ca="1">IF(OR($A44="",TYPE(VLOOKUP($A44,Centrum!$D$3:$M$130,10,0))&gt;3),"",VLOOKUP(VLOOKUP($A44,Centrum!$D$3:$M$130,10,0),Centrum!$A$3:$CB$130,AD$132,0))</f>
        <v>-7</v>
      </c>
      <c r="AK44" s="333">
        <f ca="1">IF(OR($A44="",TYPE(VLOOKUP($A44,Centrum!$D$3:$M$130,10,0))&gt;3),"",VLOOKUP(VLOOKUP($A44,Centrum!$D$3:$M$130,10,0),Centrum!$A$3:$CB$130,AK$132,0))</f>
        <v>10</v>
      </c>
      <c r="AL44" s="333">
        <f ca="1">IF(OR($A44="",TYPE(VLOOKUP($A44,Centrum!$D$3:$M$130,10,0))&gt;3),"",VLOOKUP(VLOOKUP($A44,Centrum!$D$3:$M$130,10,0),Centrum!$A$3:$CB$130,AL$132,0))</f>
        <v>0</v>
      </c>
      <c r="AM44" s="333">
        <f ca="1">IF(OR($A44="",TYPE(VLOOKUP($A44,Centrum!$D$3:$M$130,10,0))&gt;3),"",VLOOKUP(VLOOKUP($A44,Centrum!$D$3:$M$130,10,0),Centrum!$A$3:$CB$130,AM$132,0))</f>
        <v>-7</v>
      </c>
      <c r="AT44" s="333">
        <f ca="1">IF(OR(OR($A44="",TYPE(VLOOKUP($A44,Centrum!$D$3:$M$130,10,0))&gt;3),$A$1&lt;4),"",VLOOKUP(VLOOKUP($A44,Centrum!$D$3:$M$130,10,0),Centrum!$A$3:$CB$130,AT$132,0))</f>
        <v>36</v>
      </c>
      <c r="AU44" s="333">
        <f ca="1">IF(OR(OR($A44="",TYPE(VLOOKUP($A44,Centrum!$D$3:$M$130,10,0))&gt;3),$A$1&lt;4),"",VLOOKUP(VLOOKUP($A44,Centrum!$D$3:$M$130,10,0),Centrum!$A$3:$CB$130,AU$132,0))</f>
        <v>1</v>
      </c>
      <c r="AV44" s="333">
        <f ca="1">IF(OR(OR($A44="",TYPE(VLOOKUP($A44,Centrum!$D$3:$M$130,10,0))&gt;3),$A$1&lt;4),"",VLOOKUP(VLOOKUP($A44,Centrum!$D$3:$M$130,10,0),Centrum!$A$3:$CB$130,AV$132,0))</f>
        <v>9</v>
      </c>
      <c r="BC44" s="333" t="str">
        <f>IF(OR(OR($A44="",TYPE(VLOOKUP($A44,Centrum!$D$3:$M$130,10,0))&gt;3),$A$1&lt;5),"",VLOOKUP(VLOOKUP($A44,Centrum!$D$3:$M$130,10,0),Centrum!$A$3:$CB$130,BC$132,0))</f>
        <v/>
      </c>
      <c r="BD44" s="333" t="str">
        <f>IF(OR(OR($A44="",TYPE(VLOOKUP($A44,Centrum!$D$3:$M$130,10,0))&gt;3),$A$1&lt;5),"",VLOOKUP(VLOOKUP($A44,Centrum!$D$3:$M$130,10,0),Centrum!$A$3:$CB$130,BD$132,0))</f>
        <v/>
      </c>
      <c r="BE44" s="333" t="str">
        <f>IF(OR(OR($A44="",TYPE(VLOOKUP($A44,Centrum!$D$3:$M$130,10,0))&gt;3),$A$1&lt;5),"",VLOOKUP(VLOOKUP($A44,Centrum!$D$3:$M$130,10,0),Centrum!$A$3:$CB$130,BE$132,0))</f>
        <v/>
      </c>
      <c r="BL44" s="333" t="str">
        <f>IF(OR(OR($A44="",TYPE(VLOOKUP($A44,Centrum!$D$3:$M$130,10,0))&gt;3),$A$1&lt;6),"",VLOOKUP(VLOOKUP($A44,Centrum!$D$3:$M$130,10,0),Centrum!$A$3:$CB$130,BL$132,0))</f>
        <v/>
      </c>
      <c r="BM44" s="333" t="str">
        <f>IF(OR(OR($A44="",TYPE(VLOOKUP($A44,Centrum!$D$3:$M$130,10,0))&gt;3),$A$1&lt;6),"",VLOOKUP(VLOOKUP($A44,Centrum!$D$3:$M$130,10,0),Centrum!$A$3:$CB$130,BM$132,0))</f>
        <v/>
      </c>
      <c r="BN44" s="333" t="str">
        <f>IF(OR(OR($A44="",TYPE(VLOOKUP($A44,Centrum!$D$3:$M$130,10,0))&gt;3),$A$1&lt;6),"",VLOOKUP(VLOOKUP($A44,Centrum!$D$3:$M$130,10,0),Centrum!$A$3:$CB$130,BN$132,0))</f>
        <v/>
      </c>
    </row>
    <row r="45" spans="1:66" x14ac:dyDescent="0.25">
      <c r="A45" s="333">
        <f>Centrum!A45</f>
        <v>43</v>
      </c>
      <c r="B45" s="439" t="str">
        <f>IF(OR($A45="",TYPE(VLOOKUP($A45,Centrum!$D$3:$M$130,10,0))&gt;3),"",VLOOKUP(VLOOKUP(A45,Centrum!$D$3:$M$130,10,0),Centrum!$A$3:$CB$130,B$132,0))</f>
        <v>47 Club Rodamiento - Soukupová Irena</v>
      </c>
      <c r="C45" s="333">
        <f>IF(OR($A45="",TYPE(VLOOKUP($A45,Centrum!$D$3:$M$130,10,0))&gt;3),"",VLOOKUP($A45,Centrum!$D$3:$M$130,10,0))</f>
        <v>47</v>
      </c>
      <c r="E45" s="333">
        <f ca="1">IF(OR($A45="",TYPE(VLOOKUP($A45,Centrum!$D$3:$M$130,10,0))&gt;3),"",VLOOKUP(VLOOKUP($A45,Centrum!$D$3:$M$130,10,0),Centrum!$A$3:$CB$130,E$132,0))</f>
        <v>1</v>
      </c>
      <c r="F45" s="333">
        <f ca="1">IF(OR($A45="",TYPE(VLOOKUP($A45,Centrum!$D$3:$M$130,10,0))&gt;3),"",VLOOKUP(VLOOKUP($A45,Centrum!$D$3:$M$130,10,0),Centrum!$A$3:$CB$130,F$132,0))</f>
        <v>7</v>
      </c>
      <c r="G45" s="333">
        <f ca="1">IF(OR($A45="",TYPE(VLOOKUP($A45,Centrum!$D$3:$M$130,10,0))&gt;3),"",VLOOKUP(VLOOKUP($A45,Centrum!$D$3:$M$130,10,0),Centrum!$A$3:$CB$130,G$132,0))</f>
        <v>30</v>
      </c>
      <c r="H45" s="333">
        <f ca="1">IF($A45="","",VLOOKUP(VLOOKUP($A45,Centrum!$D$3:$M$130,10,0),Centrum!$A$3:$CB$130,H$132,0))</f>
        <v>0</v>
      </c>
      <c r="I45" s="333">
        <f ca="1">IF($A45="","",VLOOKUP(VLOOKUP($A45,Centrum!$D$3:$M$130,10,0),Centrum!$A$3:$CB$130,I$132,0))</f>
        <v>1</v>
      </c>
      <c r="J45" s="333">
        <f ca="1">IF(OR($A45="",TYPE(VLOOKUP($A45,Centrum!$D$3:$M$130,10,0))&gt;3),"",VLOOKUP(VLOOKUP($A45,Centrum!$D$3:$M$130,10,0),Centrum!$A$3:$CB$130,J$132,0))</f>
        <v>-16</v>
      </c>
      <c r="L45" s="333">
        <f ca="1">IF(OR($A45="",TYPE(VLOOKUP($A45,Centrum!$D$3:$M$130,10,0))&gt;3),"",VLOOKUP(VLOOKUP($A45,Centrum!$D$3:$M$130,10,0),Centrum!$A$3:$CB$130,L$132,0))</f>
        <v>22</v>
      </c>
      <c r="M45" s="333">
        <f ca="1">IF(OR($A45="",TYPE(VLOOKUP($A45,Centrum!$D$3:$M$130,10,0))&gt;3),"",VLOOKUP(VLOOKUP($A45,Centrum!$D$3:$M$130,10,0),Centrum!$A$3:$CB$130,M$132,0))</f>
        <v>15</v>
      </c>
      <c r="N45" s="333">
        <f ca="1">IF(OR($A45="",TYPE(VLOOKUP($A45,Centrum!$D$3:$M$130,10,0))&gt;3),"",VLOOKUP(VLOOKUP($A45,Centrum!$D$3:$M$130,10,0),Centrum!$A$3:$CB$130,N$132,0))</f>
        <v>42</v>
      </c>
      <c r="O45" s="333">
        <f ca="1">IF(OR($A45="",TYPE(VLOOKUP($A45,Centrum!$D$3:$M$130,10,0))&gt;3),"",VLOOKUP(VLOOKUP($A45,Centrum!$D$3:$M$130,10,0),Centrum!$A$3:$CB$130,O$132,0))</f>
        <v>8</v>
      </c>
      <c r="P45" s="333">
        <f ca="1">IF(OR($A45="",TYPE(VLOOKUP($A45,Centrum!$D$3:$M$130,10,0))&gt;3),"",VLOOKUP(VLOOKUP($A45,Centrum!$D$3:$M$130,10,0),Centrum!$A$3:$CB$130,P$132,0))</f>
        <v>0</v>
      </c>
      <c r="Q45" s="333">
        <f ca="1">IF(OR($A45="",TYPE(VLOOKUP($A45,Centrum!$D$3:$M$130,10,0))&gt;3),"",VLOOKUP(VLOOKUP($A45,Centrum!$D$3:$M$130,10,0),Centrum!$A$3:$CB$130,Q$132,0))</f>
        <v>0</v>
      </c>
      <c r="S45" s="333">
        <f ca="1">IF(OR($A45="",TYPE(VLOOKUP($A45,Centrum!$D$3:$M$130,10,0))&gt;3),"",VLOOKUP(VLOOKUP($A45,Centrum!$D$3:$M$130,10,0),Centrum!$A$3:$CB$130,S$132,0))</f>
        <v>22</v>
      </c>
      <c r="T45" s="333">
        <f ca="1">IF(OR($A45="",TYPE(VLOOKUP($A45,Centrum!$D$3:$M$130,10,0))&gt;3),"",VLOOKUP(VLOOKUP($A45,Centrum!$D$3:$M$130,10,0),Centrum!$A$3:$CB$130,T$132,0))</f>
        <v>0</v>
      </c>
      <c r="U45" s="333">
        <f ca="1">IF(OR($A45="",TYPE(VLOOKUP($A45,Centrum!$D$3:$M$130,10,0))&gt;3),"",VLOOKUP(VLOOKUP($A45,Centrum!$D$3:$M$130,10,0),Centrum!$A$3:$CB$130,U$132,0))</f>
        <v>-3</v>
      </c>
      <c r="AB45" s="333">
        <f ca="1">IF(OR($A45="",TYPE(VLOOKUP($A45,Centrum!$D$3:$M$130,10,0))&gt;3),"",VLOOKUP(VLOOKUP($A45,Centrum!$D$3:$M$130,10,0),Centrum!$A$3:$CB$130,AB$132,0))</f>
        <v>15</v>
      </c>
      <c r="AC45" s="333">
        <f ca="1">IF(OR($A45="",TYPE(VLOOKUP($A45,Centrum!$D$3:$M$130,10,0))&gt;3),"",VLOOKUP(VLOOKUP($A45,Centrum!$D$3:$M$130,10,0),Centrum!$A$3:$CB$130,AC$132,0))</f>
        <v>0</v>
      </c>
      <c r="AD45" s="333">
        <f ca="1">IF(OR($A45="",TYPE(VLOOKUP($A45,Centrum!$D$3:$M$130,10,0))&gt;3),"",VLOOKUP(VLOOKUP($A45,Centrum!$D$3:$M$130,10,0),Centrum!$A$3:$CB$130,AD$132,0))</f>
        <v>-12</v>
      </c>
      <c r="AK45" s="333">
        <f ca="1">IF(OR($A45="",TYPE(VLOOKUP($A45,Centrum!$D$3:$M$130,10,0))&gt;3),"",VLOOKUP(VLOOKUP($A45,Centrum!$D$3:$M$130,10,0),Centrum!$A$3:$CB$130,AK$132,0))</f>
        <v>42</v>
      </c>
      <c r="AL45" s="333">
        <f ca="1">IF(OR($A45="",TYPE(VLOOKUP($A45,Centrum!$D$3:$M$130,10,0))&gt;3),"",VLOOKUP(VLOOKUP($A45,Centrum!$D$3:$M$130,10,0),Centrum!$A$3:$CB$130,AL$132,0))</f>
        <v>1</v>
      </c>
      <c r="AM45" s="333">
        <f ca="1">IF(OR($A45="",TYPE(VLOOKUP($A45,Centrum!$D$3:$M$130,10,0))&gt;3),"",VLOOKUP(VLOOKUP($A45,Centrum!$D$3:$M$130,10,0),Centrum!$A$3:$CB$130,AM$132,0))</f>
        <v>6</v>
      </c>
      <c r="AT45" s="333">
        <f ca="1">IF(OR(OR($A45="",TYPE(VLOOKUP($A45,Centrum!$D$3:$M$130,10,0))&gt;3),$A$1&lt;4),"",VLOOKUP(VLOOKUP($A45,Centrum!$D$3:$M$130,10,0),Centrum!$A$3:$CB$130,AT$132,0))</f>
        <v>8</v>
      </c>
      <c r="AU45" s="333">
        <f ca="1">IF(OR(OR($A45="",TYPE(VLOOKUP($A45,Centrum!$D$3:$M$130,10,0))&gt;3),$A$1&lt;4),"",VLOOKUP(VLOOKUP($A45,Centrum!$D$3:$M$130,10,0),Centrum!$A$3:$CB$130,AU$132,0))</f>
        <v>0</v>
      </c>
      <c r="AV45" s="333">
        <f ca="1">IF(OR(OR($A45="",TYPE(VLOOKUP($A45,Centrum!$D$3:$M$130,10,0))&gt;3),$A$1&lt;4),"",VLOOKUP(VLOOKUP($A45,Centrum!$D$3:$M$130,10,0),Centrum!$A$3:$CB$130,AV$132,0))</f>
        <v>-7</v>
      </c>
      <c r="BC45" s="333" t="str">
        <f>IF(OR(OR($A45="",TYPE(VLOOKUP($A45,Centrum!$D$3:$M$130,10,0))&gt;3),$A$1&lt;5),"",VLOOKUP(VLOOKUP($A45,Centrum!$D$3:$M$130,10,0),Centrum!$A$3:$CB$130,BC$132,0))</f>
        <v/>
      </c>
      <c r="BD45" s="333" t="str">
        <f>IF(OR(OR($A45="",TYPE(VLOOKUP($A45,Centrum!$D$3:$M$130,10,0))&gt;3),$A$1&lt;5),"",VLOOKUP(VLOOKUP($A45,Centrum!$D$3:$M$130,10,0),Centrum!$A$3:$CB$130,BD$132,0))</f>
        <v/>
      </c>
      <c r="BE45" s="333" t="str">
        <f>IF(OR(OR($A45="",TYPE(VLOOKUP($A45,Centrum!$D$3:$M$130,10,0))&gt;3),$A$1&lt;5),"",VLOOKUP(VLOOKUP($A45,Centrum!$D$3:$M$130,10,0),Centrum!$A$3:$CB$130,BE$132,0))</f>
        <v/>
      </c>
      <c r="BL45" s="333" t="str">
        <f>IF(OR(OR($A45="",TYPE(VLOOKUP($A45,Centrum!$D$3:$M$130,10,0))&gt;3),$A$1&lt;6),"",VLOOKUP(VLOOKUP($A45,Centrum!$D$3:$M$130,10,0),Centrum!$A$3:$CB$130,BL$132,0))</f>
        <v/>
      </c>
      <c r="BM45" s="333" t="str">
        <f>IF(OR(OR($A45="",TYPE(VLOOKUP($A45,Centrum!$D$3:$M$130,10,0))&gt;3),$A$1&lt;6),"",VLOOKUP(VLOOKUP($A45,Centrum!$D$3:$M$130,10,0),Centrum!$A$3:$CB$130,BM$132,0))</f>
        <v/>
      </c>
      <c r="BN45" s="333" t="str">
        <f>IF(OR(OR($A45="",TYPE(VLOOKUP($A45,Centrum!$D$3:$M$130,10,0))&gt;3),$A$1&lt;6),"",VLOOKUP(VLOOKUP($A45,Centrum!$D$3:$M$130,10,0),Centrum!$A$3:$CB$130,BN$132,0))</f>
        <v/>
      </c>
    </row>
    <row r="46" spans="1:66" x14ac:dyDescent="0.25">
      <c r="A46" s="333">
        <f>Centrum!A46</f>
        <v>44</v>
      </c>
      <c r="B46" s="439" t="str">
        <f>IF(OR($A46="",TYPE(VLOOKUP($A46,Centrum!$D$3:$M$130,10,0))&gt;3),"",VLOOKUP(VLOOKUP(A46,Centrum!$D$3:$M$130,10,0),Centrum!$A$3:$CB$130,B$132,0))</f>
        <v>26 SKP Kulová osma - Lhoták Jaroslav</v>
      </c>
      <c r="C46" s="333">
        <f>IF(OR($A46="",TYPE(VLOOKUP($A46,Centrum!$D$3:$M$130,10,0))&gt;3),"",VLOOKUP($A46,Centrum!$D$3:$M$130,10,0))</f>
        <v>26</v>
      </c>
      <c r="E46" s="333">
        <f ca="1">IF(OR($A46="",TYPE(VLOOKUP($A46,Centrum!$D$3:$M$130,10,0))&gt;3),"",VLOOKUP(VLOOKUP($A46,Centrum!$D$3:$M$130,10,0),Centrum!$A$3:$CB$130,E$132,0))</f>
        <v>1</v>
      </c>
      <c r="F46" s="333">
        <f ca="1">IF(OR($A46="",TYPE(VLOOKUP($A46,Centrum!$D$3:$M$130,10,0))&gt;3),"",VLOOKUP(VLOOKUP($A46,Centrum!$D$3:$M$130,10,0),Centrum!$A$3:$CB$130,F$132,0))</f>
        <v>7</v>
      </c>
      <c r="G46" s="333">
        <f ca="1">IF(OR($A46="",TYPE(VLOOKUP($A46,Centrum!$D$3:$M$130,10,0))&gt;3),"",VLOOKUP(VLOOKUP($A46,Centrum!$D$3:$M$130,10,0),Centrum!$A$3:$CB$130,G$132,0))</f>
        <v>29</v>
      </c>
      <c r="H46" s="333">
        <f ca="1">IF($A46="","",VLOOKUP(VLOOKUP($A46,Centrum!$D$3:$M$130,10,0),Centrum!$A$3:$CB$130,H$132,0))</f>
        <v>0</v>
      </c>
      <c r="I46" s="333">
        <f ca="1">IF($A46="","",VLOOKUP(VLOOKUP($A46,Centrum!$D$3:$M$130,10,0),Centrum!$A$3:$CB$130,I$132,0))</f>
        <v>1</v>
      </c>
      <c r="J46" s="333">
        <f ca="1">IF(OR($A46="",TYPE(VLOOKUP($A46,Centrum!$D$3:$M$130,10,0))&gt;3),"",VLOOKUP(VLOOKUP($A46,Centrum!$D$3:$M$130,10,0),Centrum!$A$3:$CB$130,J$132,0))</f>
        <v>-1</v>
      </c>
      <c r="L46" s="333">
        <f ca="1">IF(OR($A46="",TYPE(VLOOKUP($A46,Centrum!$D$3:$M$130,10,0))&gt;3),"",VLOOKUP(VLOOKUP($A46,Centrum!$D$3:$M$130,10,0),Centrum!$A$3:$CB$130,L$132,0))</f>
        <v>1</v>
      </c>
      <c r="M46" s="333">
        <f ca="1">IF(OR($A46="",TYPE(VLOOKUP($A46,Centrum!$D$3:$M$130,10,0))&gt;3),"",VLOOKUP(VLOOKUP($A46,Centrum!$D$3:$M$130,10,0),Centrum!$A$3:$CB$130,M$132,0))</f>
        <v>36</v>
      </c>
      <c r="N46" s="333">
        <f ca="1">IF(OR($A46="",TYPE(VLOOKUP($A46,Centrum!$D$3:$M$130,10,0))&gt;3),"",VLOOKUP(VLOOKUP($A46,Centrum!$D$3:$M$130,10,0),Centrum!$A$3:$CB$130,N$132,0))</f>
        <v>14</v>
      </c>
      <c r="O46" s="333">
        <f ca="1">IF(OR($A46="",TYPE(VLOOKUP($A46,Centrum!$D$3:$M$130,10,0))&gt;3),"",VLOOKUP(VLOOKUP($A46,Centrum!$D$3:$M$130,10,0),Centrum!$A$3:$CB$130,O$132,0))</f>
        <v>29</v>
      </c>
      <c r="P46" s="333">
        <f ca="1">IF(OR($A46="",TYPE(VLOOKUP($A46,Centrum!$D$3:$M$130,10,0))&gt;3),"",VLOOKUP(VLOOKUP($A46,Centrum!$D$3:$M$130,10,0),Centrum!$A$3:$CB$130,P$132,0))</f>
        <v>0</v>
      </c>
      <c r="Q46" s="333">
        <f ca="1">IF(OR($A46="",TYPE(VLOOKUP($A46,Centrum!$D$3:$M$130,10,0))&gt;3),"",VLOOKUP(VLOOKUP($A46,Centrum!$D$3:$M$130,10,0),Centrum!$A$3:$CB$130,Q$132,0))</f>
        <v>0</v>
      </c>
      <c r="S46" s="333">
        <f ca="1">IF(OR($A46="",TYPE(VLOOKUP($A46,Centrum!$D$3:$M$130,10,0))&gt;3),"",VLOOKUP(VLOOKUP($A46,Centrum!$D$3:$M$130,10,0),Centrum!$A$3:$CB$130,S$132,0))</f>
        <v>1</v>
      </c>
      <c r="T46" s="333">
        <f ca="1">IF(OR($A46="",TYPE(VLOOKUP($A46,Centrum!$D$3:$M$130,10,0))&gt;3),"",VLOOKUP(VLOOKUP($A46,Centrum!$D$3:$M$130,10,0),Centrum!$A$3:$CB$130,T$132,0))</f>
        <v>0</v>
      </c>
      <c r="U46" s="333">
        <f ca="1">IF(OR($A46="",TYPE(VLOOKUP($A46,Centrum!$D$3:$M$130,10,0))&gt;3),"",VLOOKUP(VLOOKUP($A46,Centrum!$D$3:$M$130,10,0),Centrum!$A$3:$CB$130,U$132,0))</f>
        <v>-5</v>
      </c>
      <c r="AB46" s="333">
        <f ca="1">IF(OR($A46="",TYPE(VLOOKUP($A46,Centrum!$D$3:$M$130,10,0))&gt;3),"",VLOOKUP(VLOOKUP($A46,Centrum!$D$3:$M$130,10,0),Centrum!$A$3:$CB$130,AB$132,0))</f>
        <v>36</v>
      </c>
      <c r="AC46" s="333">
        <f ca="1">IF(OR($A46="",TYPE(VLOOKUP($A46,Centrum!$D$3:$M$130,10,0))&gt;3),"",VLOOKUP(VLOOKUP($A46,Centrum!$D$3:$M$130,10,0),Centrum!$A$3:$CB$130,AC$132,0))</f>
        <v>1</v>
      </c>
      <c r="AD46" s="333">
        <f ca="1">IF(OR($A46="",TYPE(VLOOKUP($A46,Centrum!$D$3:$M$130,10,0))&gt;3),"",VLOOKUP(VLOOKUP($A46,Centrum!$D$3:$M$130,10,0),Centrum!$A$3:$CB$130,AD$132,0))</f>
        <v>8</v>
      </c>
      <c r="AK46" s="333">
        <f ca="1">IF(OR($A46="",TYPE(VLOOKUP($A46,Centrum!$D$3:$M$130,10,0))&gt;3),"",VLOOKUP(VLOOKUP($A46,Centrum!$D$3:$M$130,10,0),Centrum!$A$3:$CB$130,AK$132,0))</f>
        <v>14</v>
      </c>
      <c r="AL46" s="333">
        <f ca="1">IF(OR($A46="",TYPE(VLOOKUP($A46,Centrum!$D$3:$M$130,10,0))&gt;3),"",VLOOKUP(VLOOKUP($A46,Centrum!$D$3:$M$130,10,0),Centrum!$A$3:$CB$130,AL$132,0))</f>
        <v>0</v>
      </c>
      <c r="AM46" s="333">
        <f ca="1">IF(OR($A46="",TYPE(VLOOKUP($A46,Centrum!$D$3:$M$130,10,0))&gt;3),"",VLOOKUP(VLOOKUP($A46,Centrum!$D$3:$M$130,10,0),Centrum!$A$3:$CB$130,AM$132,0))</f>
        <v>-3</v>
      </c>
      <c r="AT46" s="333">
        <f ca="1">IF(OR(OR($A46="",TYPE(VLOOKUP($A46,Centrum!$D$3:$M$130,10,0))&gt;3),$A$1&lt;4),"",VLOOKUP(VLOOKUP($A46,Centrum!$D$3:$M$130,10,0),Centrum!$A$3:$CB$130,AT$132,0))</f>
        <v>29</v>
      </c>
      <c r="AU46" s="333">
        <f ca="1">IF(OR(OR($A46="",TYPE(VLOOKUP($A46,Centrum!$D$3:$M$130,10,0))&gt;3),$A$1&lt;4),"",VLOOKUP(VLOOKUP($A46,Centrum!$D$3:$M$130,10,0),Centrum!$A$3:$CB$130,AU$132,0))</f>
        <v>0</v>
      </c>
      <c r="AV46" s="333">
        <f ca="1">IF(OR(OR($A46="",TYPE(VLOOKUP($A46,Centrum!$D$3:$M$130,10,0))&gt;3),$A$1&lt;4),"",VLOOKUP(VLOOKUP($A46,Centrum!$D$3:$M$130,10,0),Centrum!$A$3:$CB$130,AV$132,0))</f>
        <v>-1</v>
      </c>
      <c r="BC46" s="333" t="str">
        <f>IF(OR(OR($A46="",TYPE(VLOOKUP($A46,Centrum!$D$3:$M$130,10,0))&gt;3),$A$1&lt;5),"",VLOOKUP(VLOOKUP($A46,Centrum!$D$3:$M$130,10,0),Centrum!$A$3:$CB$130,BC$132,0))</f>
        <v/>
      </c>
      <c r="BD46" s="333" t="str">
        <f>IF(OR(OR($A46="",TYPE(VLOOKUP($A46,Centrum!$D$3:$M$130,10,0))&gt;3),$A$1&lt;5),"",VLOOKUP(VLOOKUP($A46,Centrum!$D$3:$M$130,10,0),Centrum!$A$3:$CB$130,BD$132,0))</f>
        <v/>
      </c>
      <c r="BE46" s="333" t="str">
        <f>IF(OR(OR($A46="",TYPE(VLOOKUP($A46,Centrum!$D$3:$M$130,10,0))&gt;3),$A$1&lt;5),"",VLOOKUP(VLOOKUP($A46,Centrum!$D$3:$M$130,10,0),Centrum!$A$3:$CB$130,BE$132,0))</f>
        <v/>
      </c>
      <c r="BL46" s="333" t="str">
        <f>IF(OR(OR($A46="",TYPE(VLOOKUP($A46,Centrum!$D$3:$M$130,10,0))&gt;3),$A$1&lt;6),"",VLOOKUP(VLOOKUP($A46,Centrum!$D$3:$M$130,10,0),Centrum!$A$3:$CB$130,BL$132,0))</f>
        <v/>
      </c>
      <c r="BM46" s="333" t="str">
        <f>IF(OR(OR($A46="",TYPE(VLOOKUP($A46,Centrum!$D$3:$M$130,10,0))&gt;3),$A$1&lt;6),"",VLOOKUP(VLOOKUP($A46,Centrum!$D$3:$M$130,10,0),Centrum!$A$3:$CB$130,BM$132,0))</f>
        <v/>
      </c>
      <c r="BN46" s="333" t="str">
        <f>IF(OR(OR($A46="",TYPE(VLOOKUP($A46,Centrum!$D$3:$M$130,10,0))&gt;3),$A$1&lt;6),"",VLOOKUP(VLOOKUP($A46,Centrum!$D$3:$M$130,10,0),Centrum!$A$3:$CB$130,BN$132,0))</f>
        <v/>
      </c>
    </row>
    <row r="47" spans="1:66" x14ac:dyDescent="0.25">
      <c r="A47" s="333">
        <f>Centrum!A47</f>
        <v>45</v>
      </c>
      <c r="B47" s="439" t="str">
        <f>IF(OR($A47="",TYPE(VLOOKUP($A47,Centrum!$D$3:$M$130,10,0))&gt;3),"",VLOOKUP(VLOOKUP(A47,Centrum!$D$3:$M$130,10,0),Centrum!$A$3:$CB$130,B$132,0))</f>
        <v>37 Club Rodamiento - Moos Daniel</v>
      </c>
      <c r="C47" s="333">
        <f>IF(OR($A47="",TYPE(VLOOKUP($A47,Centrum!$D$3:$M$130,10,0))&gt;3),"",VLOOKUP($A47,Centrum!$D$3:$M$130,10,0))</f>
        <v>37</v>
      </c>
      <c r="E47" s="333">
        <f ca="1">IF(OR($A47="",TYPE(VLOOKUP($A47,Centrum!$D$3:$M$130,10,0))&gt;3),"",VLOOKUP(VLOOKUP($A47,Centrum!$D$3:$M$130,10,0),Centrum!$A$3:$CB$130,E$132,0))</f>
        <v>1</v>
      </c>
      <c r="F47" s="333">
        <f ca="1">IF(OR($A47="",TYPE(VLOOKUP($A47,Centrum!$D$3:$M$130,10,0))&gt;3),"",VLOOKUP(VLOOKUP($A47,Centrum!$D$3:$M$130,10,0),Centrum!$A$3:$CB$130,F$132,0))</f>
        <v>7</v>
      </c>
      <c r="G47" s="333">
        <f ca="1">IF(OR($A47="",TYPE(VLOOKUP($A47,Centrum!$D$3:$M$130,10,0))&gt;3),"",VLOOKUP(VLOOKUP($A47,Centrum!$D$3:$M$130,10,0),Centrum!$A$3:$CB$130,G$132,0))</f>
        <v>27</v>
      </c>
      <c r="H47" s="333">
        <f ca="1">IF($A47="","",VLOOKUP(VLOOKUP($A47,Centrum!$D$3:$M$130,10,0),Centrum!$A$3:$CB$130,H$132,0))</f>
        <v>0</v>
      </c>
      <c r="I47" s="333">
        <f ca="1">IF($A47="","",VLOOKUP(VLOOKUP($A47,Centrum!$D$3:$M$130,10,0),Centrum!$A$3:$CB$130,I$132,0))</f>
        <v>1</v>
      </c>
      <c r="J47" s="333">
        <f ca="1">IF(OR($A47="",TYPE(VLOOKUP($A47,Centrum!$D$3:$M$130,10,0))&gt;3),"",VLOOKUP(VLOOKUP($A47,Centrum!$D$3:$M$130,10,0),Centrum!$A$3:$CB$130,J$132,0))</f>
        <v>-9</v>
      </c>
      <c r="L47" s="333">
        <f ca="1">IF(OR($A47="",TYPE(VLOOKUP($A47,Centrum!$D$3:$M$130,10,0))&gt;3),"",VLOOKUP(VLOOKUP($A47,Centrum!$D$3:$M$130,10,0),Centrum!$A$3:$CB$130,L$132,0))</f>
        <v>12</v>
      </c>
      <c r="M47" s="333">
        <f ca="1">IF(OR($A47="",TYPE(VLOOKUP($A47,Centrum!$D$3:$M$130,10,0))&gt;3),"",VLOOKUP(VLOOKUP($A47,Centrum!$D$3:$M$130,10,0),Centrum!$A$3:$CB$130,M$132,0))</f>
        <v>29</v>
      </c>
      <c r="N47" s="333">
        <f ca="1">IF(OR($A47="",TYPE(VLOOKUP($A47,Centrum!$D$3:$M$130,10,0))&gt;3),"",VLOOKUP(VLOOKUP($A47,Centrum!$D$3:$M$130,10,0),Centrum!$A$3:$CB$130,N$132,0))</f>
        <v>18</v>
      </c>
      <c r="O47" s="333">
        <f ca="1">IF(OR($A47="",TYPE(VLOOKUP($A47,Centrum!$D$3:$M$130,10,0))&gt;3),"",VLOOKUP(VLOOKUP($A47,Centrum!$D$3:$M$130,10,0),Centrum!$A$3:$CB$130,O$132,0))</f>
        <v>42</v>
      </c>
      <c r="P47" s="333">
        <f ca="1">IF(OR($A47="",TYPE(VLOOKUP($A47,Centrum!$D$3:$M$130,10,0))&gt;3),"",VLOOKUP(VLOOKUP($A47,Centrum!$D$3:$M$130,10,0),Centrum!$A$3:$CB$130,P$132,0))</f>
        <v>0</v>
      </c>
      <c r="Q47" s="333">
        <f ca="1">IF(OR($A47="",TYPE(VLOOKUP($A47,Centrum!$D$3:$M$130,10,0))&gt;3),"",VLOOKUP(VLOOKUP($A47,Centrum!$D$3:$M$130,10,0),Centrum!$A$3:$CB$130,Q$132,0))</f>
        <v>0</v>
      </c>
      <c r="S47" s="333">
        <f ca="1">IF(OR($A47="",TYPE(VLOOKUP($A47,Centrum!$D$3:$M$130,10,0))&gt;3),"",VLOOKUP(VLOOKUP($A47,Centrum!$D$3:$M$130,10,0),Centrum!$A$3:$CB$130,S$132,0))</f>
        <v>12</v>
      </c>
      <c r="T47" s="333">
        <f ca="1">IF(OR($A47="",TYPE(VLOOKUP($A47,Centrum!$D$3:$M$130,10,0))&gt;3),"",VLOOKUP(VLOOKUP($A47,Centrum!$D$3:$M$130,10,0),Centrum!$A$3:$CB$130,T$132,0))</f>
        <v>0</v>
      </c>
      <c r="U47" s="333">
        <f ca="1">IF(OR($A47="",TYPE(VLOOKUP($A47,Centrum!$D$3:$M$130,10,0))&gt;3),"",VLOOKUP(VLOOKUP($A47,Centrum!$D$3:$M$130,10,0),Centrum!$A$3:$CB$130,U$132,0))</f>
        <v>-6</v>
      </c>
      <c r="AB47" s="333">
        <f ca="1">IF(OR($A47="",TYPE(VLOOKUP($A47,Centrum!$D$3:$M$130,10,0))&gt;3),"",VLOOKUP(VLOOKUP($A47,Centrum!$D$3:$M$130,10,0),Centrum!$A$3:$CB$130,AB$132,0))</f>
        <v>29</v>
      </c>
      <c r="AC47" s="333">
        <f ca="1">IF(OR($A47="",TYPE(VLOOKUP($A47,Centrum!$D$3:$M$130,10,0))&gt;3),"",VLOOKUP(VLOOKUP($A47,Centrum!$D$3:$M$130,10,0),Centrum!$A$3:$CB$130,AC$132,0))</f>
        <v>0</v>
      </c>
      <c r="AD47" s="333">
        <f ca="1">IF(OR($A47="",TYPE(VLOOKUP($A47,Centrum!$D$3:$M$130,10,0))&gt;3),"",VLOOKUP(VLOOKUP($A47,Centrum!$D$3:$M$130,10,0),Centrum!$A$3:$CB$130,AD$132,0))</f>
        <v>-6</v>
      </c>
      <c r="AK47" s="333">
        <f ca="1">IF(OR($A47="",TYPE(VLOOKUP($A47,Centrum!$D$3:$M$130,10,0))&gt;3),"",VLOOKUP(VLOOKUP($A47,Centrum!$D$3:$M$130,10,0),Centrum!$A$3:$CB$130,AK$132,0))</f>
        <v>18</v>
      </c>
      <c r="AL47" s="333">
        <f ca="1">IF(OR($A47="",TYPE(VLOOKUP($A47,Centrum!$D$3:$M$130,10,0))&gt;3),"",VLOOKUP(VLOOKUP($A47,Centrum!$D$3:$M$130,10,0),Centrum!$A$3:$CB$130,AL$132,0))</f>
        <v>0</v>
      </c>
      <c r="AM47" s="333">
        <f ca="1">IF(OR($A47="",TYPE(VLOOKUP($A47,Centrum!$D$3:$M$130,10,0))&gt;3),"",VLOOKUP(VLOOKUP($A47,Centrum!$D$3:$M$130,10,0),Centrum!$A$3:$CB$130,AM$132,0))</f>
        <v>-9</v>
      </c>
      <c r="AT47" s="333">
        <f ca="1">IF(OR(OR($A47="",TYPE(VLOOKUP($A47,Centrum!$D$3:$M$130,10,0))&gt;3),$A$1&lt;4),"",VLOOKUP(VLOOKUP($A47,Centrum!$D$3:$M$130,10,0),Centrum!$A$3:$CB$130,AT$132,0))</f>
        <v>42</v>
      </c>
      <c r="AU47" s="333">
        <f ca="1">IF(OR(OR($A47="",TYPE(VLOOKUP($A47,Centrum!$D$3:$M$130,10,0))&gt;3),$A$1&lt;4),"",VLOOKUP(VLOOKUP($A47,Centrum!$D$3:$M$130,10,0),Centrum!$A$3:$CB$130,AU$132,0))</f>
        <v>1</v>
      </c>
      <c r="AV47" s="333">
        <f ca="1">IF(OR(OR($A47="",TYPE(VLOOKUP($A47,Centrum!$D$3:$M$130,10,0))&gt;3),$A$1&lt;4),"",VLOOKUP(VLOOKUP($A47,Centrum!$D$3:$M$130,10,0),Centrum!$A$3:$CB$130,AV$132,0))</f>
        <v>12</v>
      </c>
      <c r="BC47" s="333" t="str">
        <f>IF(OR(OR($A47="",TYPE(VLOOKUP($A47,Centrum!$D$3:$M$130,10,0))&gt;3),$A$1&lt;5),"",VLOOKUP(VLOOKUP($A47,Centrum!$D$3:$M$130,10,0),Centrum!$A$3:$CB$130,BC$132,0))</f>
        <v/>
      </c>
      <c r="BD47" s="333" t="str">
        <f>IF(OR(OR($A47="",TYPE(VLOOKUP($A47,Centrum!$D$3:$M$130,10,0))&gt;3),$A$1&lt;5),"",VLOOKUP(VLOOKUP($A47,Centrum!$D$3:$M$130,10,0),Centrum!$A$3:$CB$130,BD$132,0))</f>
        <v/>
      </c>
      <c r="BE47" s="333" t="str">
        <f>IF(OR(OR($A47="",TYPE(VLOOKUP($A47,Centrum!$D$3:$M$130,10,0))&gt;3),$A$1&lt;5),"",VLOOKUP(VLOOKUP($A47,Centrum!$D$3:$M$130,10,0),Centrum!$A$3:$CB$130,BE$132,0))</f>
        <v/>
      </c>
      <c r="BL47" s="333" t="str">
        <f>IF(OR(OR($A47="",TYPE(VLOOKUP($A47,Centrum!$D$3:$M$130,10,0))&gt;3),$A$1&lt;6),"",VLOOKUP(VLOOKUP($A47,Centrum!$D$3:$M$130,10,0),Centrum!$A$3:$CB$130,BL$132,0))</f>
        <v/>
      </c>
      <c r="BM47" s="333" t="str">
        <f>IF(OR(OR($A47="",TYPE(VLOOKUP($A47,Centrum!$D$3:$M$130,10,0))&gt;3),$A$1&lt;6),"",VLOOKUP(VLOOKUP($A47,Centrum!$D$3:$M$130,10,0),Centrum!$A$3:$CB$130,BM$132,0))</f>
        <v/>
      </c>
      <c r="BN47" s="333" t="str">
        <f>IF(OR(OR($A47="",TYPE(VLOOKUP($A47,Centrum!$D$3:$M$130,10,0))&gt;3),$A$1&lt;6),"",VLOOKUP(VLOOKUP($A47,Centrum!$D$3:$M$130,10,0),Centrum!$A$3:$CB$130,BN$132,0))</f>
        <v/>
      </c>
    </row>
    <row r="48" spans="1:66" x14ac:dyDescent="0.25">
      <c r="A48" s="333">
        <f>Centrum!A48</f>
        <v>46</v>
      </c>
      <c r="B48" s="439" t="str">
        <f>IF(OR($A48="",TYPE(VLOOKUP($A48,Centrum!$D$3:$M$130,10,0))&gt;3),"",VLOOKUP(VLOOKUP(A48,Centrum!$D$3:$M$130,10,0),Centrum!$A$3:$CB$130,B$132,0))</f>
        <v>48 SK Španielka Řepy - Pastorek Jaroslav</v>
      </c>
      <c r="C48" s="333">
        <f>IF(OR($A48="",TYPE(VLOOKUP($A48,Centrum!$D$3:$M$130,10,0))&gt;3),"",VLOOKUP($A48,Centrum!$D$3:$M$130,10,0))</f>
        <v>48</v>
      </c>
      <c r="E48" s="333">
        <f ca="1">IF(OR($A48="",TYPE(VLOOKUP($A48,Centrum!$D$3:$M$130,10,0))&gt;3),"",VLOOKUP(VLOOKUP($A48,Centrum!$D$3:$M$130,10,0),Centrum!$A$3:$CB$130,E$132,0))</f>
        <v>1</v>
      </c>
      <c r="F48" s="333">
        <f ca="1">IF(OR($A48="",TYPE(VLOOKUP($A48,Centrum!$D$3:$M$130,10,0))&gt;3),"",VLOOKUP(VLOOKUP($A48,Centrum!$D$3:$M$130,10,0),Centrum!$A$3:$CB$130,F$132,0))</f>
        <v>7</v>
      </c>
      <c r="G48" s="333">
        <f ca="1">IF(OR($A48="",TYPE(VLOOKUP($A48,Centrum!$D$3:$M$130,10,0))&gt;3),"",VLOOKUP(VLOOKUP($A48,Centrum!$D$3:$M$130,10,0),Centrum!$A$3:$CB$130,G$132,0))</f>
        <v>26</v>
      </c>
      <c r="H48" s="333">
        <f ca="1">IF($A48="","",VLOOKUP(VLOOKUP($A48,Centrum!$D$3:$M$130,10,0),Centrum!$A$3:$CB$130,H$132,0))</f>
        <v>1</v>
      </c>
      <c r="I48" s="333">
        <f ca="1">IF($A48="","",VLOOKUP(VLOOKUP($A48,Centrum!$D$3:$M$130,10,0),Centrum!$A$3:$CB$130,I$132,0))</f>
        <v>1</v>
      </c>
      <c r="J48" s="333">
        <f ca="1">IF(OR($A48="",TYPE(VLOOKUP($A48,Centrum!$D$3:$M$130,10,0))&gt;3),"",VLOOKUP(VLOOKUP($A48,Centrum!$D$3:$M$130,10,0),Centrum!$A$3:$CB$130,J$132,0))</f>
        <v>-9</v>
      </c>
      <c r="L48" s="333">
        <f ca="1">IF(OR($A48="",TYPE(VLOOKUP($A48,Centrum!$D$3:$M$130,10,0))&gt;3),"",VLOOKUP(VLOOKUP($A48,Centrum!$D$3:$M$130,10,0),Centrum!$A$3:$CB$130,L$132,0))</f>
        <v>23</v>
      </c>
      <c r="M48" s="333">
        <f ca="1">IF(OR($A48="",TYPE(VLOOKUP($A48,Centrum!$D$3:$M$130,10,0))&gt;3),"",VLOOKUP(VLOOKUP($A48,Centrum!$D$3:$M$130,10,0),Centrum!$A$3:$CB$130,M$132,0))</f>
        <v>46</v>
      </c>
      <c r="N48" s="333">
        <f ca="1">IF(OR($A48="",TYPE(VLOOKUP($A48,Centrum!$D$3:$M$130,10,0))&gt;3),"",VLOOKUP(VLOOKUP($A48,Centrum!$D$3:$M$130,10,0),Centrum!$A$3:$CB$130,N$132,0))</f>
        <v>25</v>
      </c>
      <c r="O48" s="333">
        <f ca="1">IF(OR($A48="",TYPE(VLOOKUP($A48,Centrum!$D$3:$M$130,10,0))&gt;3),"",VLOOKUP(VLOOKUP($A48,Centrum!$D$3:$M$130,10,0),Centrum!$A$3:$CB$130,O$132,0))</f>
        <v>15</v>
      </c>
      <c r="P48" s="333">
        <f ca="1">IF(OR($A48="",TYPE(VLOOKUP($A48,Centrum!$D$3:$M$130,10,0))&gt;3),"",VLOOKUP(VLOOKUP($A48,Centrum!$D$3:$M$130,10,0),Centrum!$A$3:$CB$130,P$132,0))</f>
        <v>0</v>
      </c>
      <c r="Q48" s="333">
        <f ca="1">IF(OR($A48="",TYPE(VLOOKUP($A48,Centrum!$D$3:$M$130,10,0))&gt;3),"",VLOOKUP(VLOOKUP($A48,Centrum!$D$3:$M$130,10,0),Centrum!$A$3:$CB$130,Q$132,0))</f>
        <v>0</v>
      </c>
      <c r="S48" s="333">
        <f ca="1">IF(OR($A48="",TYPE(VLOOKUP($A48,Centrum!$D$3:$M$130,10,0))&gt;3),"",VLOOKUP(VLOOKUP($A48,Centrum!$D$3:$M$130,10,0),Centrum!$A$3:$CB$130,S$132,0))</f>
        <v>23</v>
      </c>
      <c r="T48" s="333">
        <f ca="1">IF(OR($A48="",TYPE(VLOOKUP($A48,Centrum!$D$3:$M$130,10,0))&gt;3),"",VLOOKUP(VLOOKUP($A48,Centrum!$D$3:$M$130,10,0),Centrum!$A$3:$CB$130,T$132,0))</f>
        <v>0</v>
      </c>
      <c r="U48" s="333">
        <f ca="1">IF(OR($A48="",TYPE(VLOOKUP($A48,Centrum!$D$3:$M$130,10,0))&gt;3),"",VLOOKUP(VLOOKUP($A48,Centrum!$D$3:$M$130,10,0),Centrum!$A$3:$CB$130,U$132,0))</f>
        <v>-8</v>
      </c>
      <c r="AB48" s="333">
        <f ca="1">IF(OR($A48="",TYPE(VLOOKUP($A48,Centrum!$D$3:$M$130,10,0))&gt;3),"",VLOOKUP(VLOOKUP($A48,Centrum!$D$3:$M$130,10,0),Centrum!$A$3:$CB$130,AB$132,0))</f>
        <v>46</v>
      </c>
      <c r="AC48" s="333">
        <f ca="1">IF(OR($A48="",TYPE(VLOOKUP($A48,Centrum!$D$3:$M$130,10,0))&gt;3),"",VLOOKUP(VLOOKUP($A48,Centrum!$D$3:$M$130,10,0),Centrum!$A$3:$CB$130,AC$132,0))</f>
        <v>1</v>
      </c>
      <c r="AD48" s="333">
        <f ca="1">IF(OR($A48="",TYPE(VLOOKUP($A48,Centrum!$D$3:$M$130,10,0))&gt;3),"",VLOOKUP(VLOOKUP($A48,Centrum!$D$3:$M$130,10,0),Centrum!$A$3:$CB$130,AD$132,0))</f>
        <v>7</v>
      </c>
      <c r="AK48" s="333">
        <f ca="1">IF(OR($A48="",TYPE(VLOOKUP($A48,Centrum!$D$3:$M$130,10,0))&gt;3),"",VLOOKUP(VLOOKUP($A48,Centrum!$D$3:$M$130,10,0),Centrum!$A$3:$CB$130,AK$132,0))</f>
        <v>25</v>
      </c>
      <c r="AL48" s="333">
        <f ca="1">IF(OR($A48="",TYPE(VLOOKUP($A48,Centrum!$D$3:$M$130,10,0))&gt;3),"",VLOOKUP(VLOOKUP($A48,Centrum!$D$3:$M$130,10,0),Centrum!$A$3:$CB$130,AL$132,0))</f>
        <v>0</v>
      </c>
      <c r="AM48" s="333">
        <f ca="1">IF(OR($A48="",TYPE(VLOOKUP($A48,Centrum!$D$3:$M$130,10,0))&gt;3),"",VLOOKUP(VLOOKUP($A48,Centrum!$D$3:$M$130,10,0),Centrum!$A$3:$CB$130,AM$132,0))</f>
        <v>-7</v>
      </c>
      <c r="AT48" s="333">
        <f ca="1">IF(OR(OR($A48="",TYPE(VLOOKUP($A48,Centrum!$D$3:$M$130,10,0))&gt;3),$A$1&lt;4),"",VLOOKUP(VLOOKUP($A48,Centrum!$D$3:$M$130,10,0),Centrum!$A$3:$CB$130,AT$132,0))</f>
        <v>15</v>
      </c>
      <c r="AU48" s="333">
        <f ca="1">IF(OR(OR($A48="",TYPE(VLOOKUP($A48,Centrum!$D$3:$M$130,10,0))&gt;3),$A$1&lt;4),"",VLOOKUP(VLOOKUP($A48,Centrum!$D$3:$M$130,10,0),Centrum!$A$3:$CB$130,AU$132,0))</f>
        <v>0</v>
      </c>
      <c r="AV48" s="333">
        <f ca="1">IF(OR(OR($A48="",TYPE(VLOOKUP($A48,Centrum!$D$3:$M$130,10,0))&gt;3),$A$1&lt;4),"",VLOOKUP(VLOOKUP($A48,Centrum!$D$3:$M$130,10,0),Centrum!$A$3:$CB$130,AV$132,0))</f>
        <v>-1</v>
      </c>
      <c r="BC48" s="333" t="str">
        <f>IF(OR(OR($A48="",TYPE(VLOOKUP($A48,Centrum!$D$3:$M$130,10,0))&gt;3),$A$1&lt;5),"",VLOOKUP(VLOOKUP($A48,Centrum!$D$3:$M$130,10,0),Centrum!$A$3:$CB$130,BC$132,0))</f>
        <v/>
      </c>
      <c r="BD48" s="333" t="str">
        <f>IF(OR(OR($A48="",TYPE(VLOOKUP($A48,Centrum!$D$3:$M$130,10,0))&gt;3),$A$1&lt;5),"",VLOOKUP(VLOOKUP($A48,Centrum!$D$3:$M$130,10,0),Centrum!$A$3:$CB$130,BD$132,0))</f>
        <v/>
      </c>
      <c r="BE48" s="333" t="str">
        <f>IF(OR(OR($A48="",TYPE(VLOOKUP($A48,Centrum!$D$3:$M$130,10,0))&gt;3),$A$1&lt;5),"",VLOOKUP(VLOOKUP($A48,Centrum!$D$3:$M$130,10,0),Centrum!$A$3:$CB$130,BE$132,0))</f>
        <v/>
      </c>
      <c r="BL48" s="333" t="str">
        <f>IF(OR(OR($A48="",TYPE(VLOOKUP($A48,Centrum!$D$3:$M$130,10,0))&gt;3),$A$1&lt;6),"",VLOOKUP(VLOOKUP($A48,Centrum!$D$3:$M$130,10,0),Centrum!$A$3:$CB$130,BL$132,0))</f>
        <v/>
      </c>
      <c r="BM48" s="333" t="str">
        <f>IF(OR(OR($A48="",TYPE(VLOOKUP($A48,Centrum!$D$3:$M$130,10,0))&gt;3),$A$1&lt;6),"",VLOOKUP(VLOOKUP($A48,Centrum!$D$3:$M$130,10,0),Centrum!$A$3:$CB$130,BM$132,0))</f>
        <v/>
      </c>
      <c r="BN48" s="333" t="str">
        <f>IF(OR(OR($A48="",TYPE(VLOOKUP($A48,Centrum!$D$3:$M$130,10,0))&gt;3),$A$1&lt;6),"",VLOOKUP(VLOOKUP($A48,Centrum!$D$3:$M$130,10,0),Centrum!$A$3:$CB$130,BN$132,0))</f>
        <v/>
      </c>
    </row>
    <row r="49" spans="1:66" x14ac:dyDescent="0.25">
      <c r="A49" s="333">
        <f>Centrum!A49</f>
        <v>47</v>
      </c>
      <c r="B49" s="439" t="str">
        <f>IF(OR($A49="",TYPE(VLOOKUP($A49,Centrum!$D$3:$M$130,10,0))&gt;3),"",VLOOKUP(VLOOKUP(A49,Centrum!$D$3:$M$130,10,0),Centrum!$A$3:$CB$130,B$132,0))</f>
        <v>46 CdP Loděnice - Hytych Petr</v>
      </c>
      <c r="C49" s="333">
        <f>IF(OR($A49="",TYPE(VLOOKUP($A49,Centrum!$D$3:$M$130,10,0))&gt;3),"",VLOOKUP($A49,Centrum!$D$3:$M$130,10,0))</f>
        <v>46</v>
      </c>
      <c r="E49" s="333">
        <f ca="1">IF(OR($A49="",TYPE(VLOOKUP($A49,Centrum!$D$3:$M$130,10,0))&gt;3),"",VLOOKUP(VLOOKUP($A49,Centrum!$D$3:$M$130,10,0),Centrum!$A$3:$CB$130,E$132,0))</f>
        <v>1</v>
      </c>
      <c r="F49" s="333">
        <f ca="1">IF(OR($A49="",TYPE(VLOOKUP($A49,Centrum!$D$3:$M$130,10,0))&gt;3),"",VLOOKUP(VLOOKUP($A49,Centrum!$D$3:$M$130,10,0),Centrum!$A$3:$CB$130,F$132,0))</f>
        <v>5</v>
      </c>
      <c r="G49" s="333">
        <f ca="1">IF(OR($A49="",TYPE(VLOOKUP($A49,Centrum!$D$3:$M$130,10,0))&gt;3),"",VLOOKUP(VLOOKUP($A49,Centrum!$D$3:$M$130,10,0),Centrum!$A$3:$CB$130,G$132,0))</f>
        <v>29</v>
      </c>
      <c r="H49" s="333">
        <f ca="1">IF($A49="","",VLOOKUP(VLOOKUP($A49,Centrum!$D$3:$M$130,10,0),Centrum!$A$3:$CB$130,H$132,0))</f>
        <v>0</v>
      </c>
      <c r="I49" s="333">
        <f ca="1">IF($A49="","",VLOOKUP(VLOOKUP($A49,Centrum!$D$3:$M$130,10,0),Centrum!$A$3:$CB$130,I$132,0))</f>
        <v>1</v>
      </c>
      <c r="J49" s="333">
        <f ca="1">IF(OR($A49="",TYPE(VLOOKUP($A49,Centrum!$D$3:$M$130,10,0))&gt;3),"",VLOOKUP(VLOOKUP($A49,Centrum!$D$3:$M$130,10,0),Centrum!$A$3:$CB$130,J$132,0))</f>
        <v>-17</v>
      </c>
      <c r="L49" s="333">
        <f ca="1">IF(OR($A49="",TYPE(VLOOKUP($A49,Centrum!$D$3:$M$130,10,0))&gt;3),"",VLOOKUP(VLOOKUP($A49,Centrum!$D$3:$M$130,10,0),Centrum!$A$3:$CB$130,L$132,0))</f>
        <v>21</v>
      </c>
      <c r="M49" s="333">
        <f ca="1">IF(OR($A49="",TYPE(VLOOKUP($A49,Centrum!$D$3:$M$130,10,0))&gt;3),"",VLOOKUP(VLOOKUP($A49,Centrum!$D$3:$M$130,10,0),Centrum!$A$3:$CB$130,M$132,0))</f>
        <v>48</v>
      </c>
      <c r="N49" s="333">
        <f ca="1">IF(OR($A49="",TYPE(VLOOKUP($A49,Centrum!$D$3:$M$130,10,0))&gt;3),"",VLOOKUP(VLOOKUP($A49,Centrum!$D$3:$M$130,10,0),Centrum!$A$3:$CB$130,N$132,0))</f>
        <v>36</v>
      </c>
      <c r="O49" s="333">
        <f ca="1">IF(OR($A49="",TYPE(VLOOKUP($A49,Centrum!$D$3:$M$130,10,0))&gt;3),"",VLOOKUP(VLOOKUP($A49,Centrum!$D$3:$M$130,10,0),Centrum!$A$3:$CB$130,O$132,0))</f>
        <v>17</v>
      </c>
      <c r="P49" s="333">
        <f ca="1">IF(OR($A49="",TYPE(VLOOKUP($A49,Centrum!$D$3:$M$130,10,0))&gt;3),"",VLOOKUP(VLOOKUP($A49,Centrum!$D$3:$M$130,10,0),Centrum!$A$3:$CB$130,P$132,0))</f>
        <v>0</v>
      </c>
      <c r="Q49" s="333">
        <f ca="1">IF(OR($A49="",TYPE(VLOOKUP($A49,Centrum!$D$3:$M$130,10,0))&gt;3),"",VLOOKUP(VLOOKUP($A49,Centrum!$D$3:$M$130,10,0),Centrum!$A$3:$CB$130,Q$132,0))</f>
        <v>0</v>
      </c>
      <c r="S49" s="333">
        <f ca="1">IF(OR($A49="",TYPE(VLOOKUP($A49,Centrum!$D$3:$M$130,10,0))&gt;3),"",VLOOKUP(VLOOKUP($A49,Centrum!$D$3:$M$130,10,0),Centrum!$A$3:$CB$130,S$132,0))</f>
        <v>21</v>
      </c>
      <c r="T49" s="333">
        <f ca="1">IF(OR($A49="",TYPE(VLOOKUP($A49,Centrum!$D$3:$M$130,10,0))&gt;3),"",VLOOKUP(VLOOKUP($A49,Centrum!$D$3:$M$130,10,0),Centrum!$A$3:$CB$130,T$132,0))</f>
        <v>0</v>
      </c>
      <c r="U49" s="333">
        <f ca="1">IF(OR($A49="",TYPE(VLOOKUP($A49,Centrum!$D$3:$M$130,10,0))&gt;3),"",VLOOKUP(VLOOKUP($A49,Centrum!$D$3:$M$130,10,0),Centrum!$A$3:$CB$130,U$132,0))</f>
        <v>-6</v>
      </c>
      <c r="AB49" s="333">
        <f ca="1">IF(OR($A49="",TYPE(VLOOKUP($A49,Centrum!$D$3:$M$130,10,0))&gt;3),"",VLOOKUP(VLOOKUP($A49,Centrum!$D$3:$M$130,10,0),Centrum!$A$3:$CB$130,AB$132,0))</f>
        <v>48</v>
      </c>
      <c r="AC49" s="333">
        <f ca="1">IF(OR($A49="",TYPE(VLOOKUP($A49,Centrum!$D$3:$M$130,10,0))&gt;3),"",VLOOKUP(VLOOKUP($A49,Centrum!$D$3:$M$130,10,0),Centrum!$A$3:$CB$130,AC$132,0))</f>
        <v>0</v>
      </c>
      <c r="AD49" s="333">
        <f ca="1">IF(OR($A49="",TYPE(VLOOKUP($A49,Centrum!$D$3:$M$130,10,0))&gt;3),"",VLOOKUP(VLOOKUP($A49,Centrum!$D$3:$M$130,10,0),Centrum!$A$3:$CB$130,AD$132,0))</f>
        <v>-7</v>
      </c>
      <c r="AK49" s="333">
        <f ca="1">IF(OR($A49="",TYPE(VLOOKUP($A49,Centrum!$D$3:$M$130,10,0))&gt;3),"",VLOOKUP(VLOOKUP($A49,Centrum!$D$3:$M$130,10,0),Centrum!$A$3:$CB$130,AK$132,0))</f>
        <v>36</v>
      </c>
      <c r="AL49" s="333">
        <f ca="1">IF(OR($A49="",TYPE(VLOOKUP($A49,Centrum!$D$3:$M$130,10,0))&gt;3),"",VLOOKUP(VLOOKUP($A49,Centrum!$D$3:$M$130,10,0),Centrum!$A$3:$CB$130,AL$132,0))</f>
        <v>1</v>
      </c>
      <c r="AM49" s="333">
        <f ca="1">IF(OR($A49="",TYPE(VLOOKUP($A49,Centrum!$D$3:$M$130,10,0))&gt;3),"",VLOOKUP(VLOOKUP($A49,Centrum!$D$3:$M$130,10,0),Centrum!$A$3:$CB$130,AM$132,0))</f>
        <v>7</v>
      </c>
      <c r="AT49" s="333">
        <f ca="1">IF(OR(OR($A49="",TYPE(VLOOKUP($A49,Centrum!$D$3:$M$130,10,0))&gt;3),$A$1&lt;4),"",VLOOKUP(VLOOKUP($A49,Centrum!$D$3:$M$130,10,0),Centrum!$A$3:$CB$130,AT$132,0))</f>
        <v>17</v>
      </c>
      <c r="AU49" s="333">
        <f ca="1">IF(OR(OR($A49="",TYPE(VLOOKUP($A49,Centrum!$D$3:$M$130,10,0))&gt;3),$A$1&lt;4),"",VLOOKUP(VLOOKUP($A49,Centrum!$D$3:$M$130,10,0),Centrum!$A$3:$CB$130,AU$132,0))</f>
        <v>0</v>
      </c>
      <c r="AV49" s="333">
        <f ca="1">IF(OR(OR($A49="",TYPE(VLOOKUP($A49,Centrum!$D$3:$M$130,10,0))&gt;3),$A$1&lt;4),"",VLOOKUP(VLOOKUP($A49,Centrum!$D$3:$M$130,10,0),Centrum!$A$3:$CB$130,AV$132,0))</f>
        <v>-11</v>
      </c>
      <c r="BC49" s="333" t="str">
        <f>IF(OR(OR($A49="",TYPE(VLOOKUP($A49,Centrum!$D$3:$M$130,10,0))&gt;3),$A$1&lt;5),"",VLOOKUP(VLOOKUP($A49,Centrum!$D$3:$M$130,10,0),Centrum!$A$3:$CB$130,BC$132,0))</f>
        <v/>
      </c>
      <c r="BD49" s="333" t="str">
        <f>IF(OR(OR($A49="",TYPE(VLOOKUP($A49,Centrum!$D$3:$M$130,10,0))&gt;3),$A$1&lt;5),"",VLOOKUP(VLOOKUP($A49,Centrum!$D$3:$M$130,10,0),Centrum!$A$3:$CB$130,BD$132,0))</f>
        <v/>
      </c>
      <c r="BE49" s="333" t="str">
        <f>IF(OR(OR($A49="",TYPE(VLOOKUP($A49,Centrum!$D$3:$M$130,10,0))&gt;3),$A$1&lt;5),"",VLOOKUP(VLOOKUP($A49,Centrum!$D$3:$M$130,10,0),Centrum!$A$3:$CB$130,BE$132,0))</f>
        <v/>
      </c>
      <c r="BL49" s="333" t="str">
        <f>IF(OR(OR($A49="",TYPE(VLOOKUP($A49,Centrum!$D$3:$M$130,10,0))&gt;3),$A$1&lt;6),"",VLOOKUP(VLOOKUP($A49,Centrum!$D$3:$M$130,10,0),Centrum!$A$3:$CB$130,BL$132,0))</f>
        <v/>
      </c>
      <c r="BM49" s="333" t="str">
        <f>IF(OR(OR($A49="",TYPE(VLOOKUP($A49,Centrum!$D$3:$M$130,10,0))&gt;3),$A$1&lt;6),"",VLOOKUP(VLOOKUP($A49,Centrum!$D$3:$M$130,10,0),Centrum!$A$3:$CB$130,BM$132,0))</f>
        <v/>
      </c>
      <c r="BN49" s="333" t="str">
        <f>IF(OR(OR($A49="",TYPE(VLOOKUP($A49,Centrum!$D$3:$M$130,10,0))&gt;3),$A$1&lt;6),"",VLOOKUP(VLOOKUP($A49,Centrum!$D$3:$M$130,10,0),Centrum!$A$3:$CB$130,BN$132,0))</f>
        <v/>
      </c>
    </row>
    <row r="50" spans="1:66" x14ac:dyDescent="0.25">
      <c r="A50" s="333">
        <f>Centrum!A50</f>
        <v>48</v>
      </c>
      <c r="B50" s="439" t="str">
        <f>IF(OR($A50="",TYPE(VLOOKUP($A50,Centrum!$D$3:$M$130,10,0))&gt;3),"",VLOOKUP(VLOOKUP(A50,Centrum!$D$3:$M$130,10,0),Centrum!$A$3:$CB$130,B$132,0))</f>
        <v>33 CdP Loděnice - Fatka Stanislav ml.</v>
      </c>
      <c r="C50" s="333">
        <f>IF(OR($A50="",TYPE(VLOOKUP($A50,Centrum!$D$3:$M$130,10,0))&gt;3),"",VLOOKUP($A50,Centrum!$D$3:$M$130,10,0))</f>
        <v>33</v>
      </c>
      <c r="E50" s="333">
        <f ca="1">IF(OR($A50="",TYPE(VLOOKUP($A50,Centrum!$D$3:$M$130,10,0))&gt;3),"",VLOOKUP(VLOOKUP($A50,Centrum!$D$3:$M$130,10,0),Centrum!$A$3:$CB$130,E$132,0))</f>
        <v>1</v>
      </c>
      <c r="F50" s="333">
        <f ca="1">IF(OR($A50="",TYPE(VLOOKUP($A50,Centrum!$D$3:$M$130,10,0))&gt;3),"",VLOOKUP(VLOOKUP($A50,Centrum!$D$3:$M$130,10,0),Centrum!$A$3:$CB$130,F$132,0))</f>
        <v>4</v>
      </c>
      <c r="G50" s="333">
        <f ca="1">IF(OR($A50="",TYPE(VLOOKUP($A50,Centrum!$D$3:$M$130,10,0))&gt;3),"",VLOOKUP(VLOOKUP($A50,Centrum!$D$3:$M$130,10,0),Centrum!$A$3:$CB$130,G$132,0))</f>
        <v>27</v>
      </c>
      <c r="H50" s="333">
        <f ca="1">IF($A50="","",VLOOKUP(VLOOKUP($A50,Centrum!$D$3:$M$130,10,0),Centrum!$A$3:$CB$130,H$132,0))</f>
        <v>0</v>
      </c>
      <c r="I50" s="333">
        <f ca="1">IF($A50="","",VLOOKUP(VLOOKUP($A50,Centrum!$D$3:$M$130,10,0),Centrum!$A$3:$CB$130,I$132,0))</f>
        <v>1</v>
      </c>
      <c r="J50" s="333">
        <f ca="1">IF(OR($A50="",TYPE(VLOOKUP($A50,Centrum!$D$3:$M$130,10,0))&gt;3),"",VLOOKUP(VLOOKUP($A50,Centrum!$D$3:$M$130,10,0),Centrum!$A$3:$CB$130,J$132,0))</f>
        <v>-10</v>
      </c>
      <c r="L50" s="333">
        <f ca="1">IF(OR($A50="",TYPE(VLOOKUP($A50,Centrum!$D$3:$M$130,10,0))&gt;3),"",VLOOKUP(VLOOKUP($A50,Centrum!$D$3:$M$130,10,0),Centrum!$A$3:$CB$130,L$132,0))</f>
        <v>8</v>
      </c>
      <c r="M50" s="333">
        <f ca="1">IF(OR($A50="",TYPE(VLOOKUP($A50,Centrum!$D$3:$M$130,10,0))&gt;3),"",VLOOKUP(VLOOKUP($A50,Centrum!$D$3:$M$130,10,0),Centrum!$A$3:$CB$130,M$132,0))</f>
        <v>32</v>
      </c>
      <c r="N50" s="333">
        <f ca="1">IF(OR($A50="",TYPE(VLOOKUP($A50,Centrum!$D$3:$M$130,10,0))&gt;3),"",VLOOKUP(VLOOKUP($A50,Centrum!$D$3:$M$130,10,0),Centrum!$A$3:$CB$130,N$132,0))</f>
        <v>27</v>
      </c>
      <c r="O50" s="333" t="str">
        <f ca="1">IF(OR($A50="",TYPE(VLOOKUP($A50,Centrum!$D$3:$M$130,10,0))&gt;3),"",VLOOKUP(VLOOKUP($A50,Centrum!$D$3:$M$130,10,0),Centrum!$A$3:$CB$130,O$132,0))</f>
        <v/>
      </c>
      <c r="P50" s="333">
        <f ca="1">IF(OR($A50="",TYPE(VLOOKUP($A50,Centrum!$D$3:$M$130,10,0))&gt;3),"",VLOOKUP(VLOOKUP($A50,Centrum!$D$3:$M$130,10,0),Centrum!$A$3:$CB$130,P$132,0))</f>
        <v>0</v>
      </c>
      <c r="Q50" s="333">
        <f ca="1">IF(OR($A50="",TYPE(VLOOKUP($A50,Centrum!$D$3:$M$130,10,0))&gt;3),"",VLOOKUP(VLOOKUP($A50,Centrum!$D$3:$M$130,10,0),Centrum!$A$3:$CB$130,Q$132,0))</f>
        <v>0</v>
      </c>
      <c r="S50" s="333">
        <f ca="1">IF(OR($A50="",TYPE(VLOOKUP($A50,Centrum!$D$3:$M$130,10,0))&gt;3),"",VLOOKUP(VLOOKUP($A50,Centrum!$D$3:$M$130,10,0),Centrum!$A$3:$CB$130,S$132,0))</f>
        <v>8</v>
      </c>
      <c r="T50" s="333">
        <f ca="1">IF(OR($A50="",TYPE(VLOOKUP($A50,Centrum!$D$3:$M$130,10,0))&gt;3),"",VLOOKUP(VLOOKUP($A50,Centrum!$D$3:$M$130,10,0),Centrum!$A$3:$CB$130,T$132,0))</f>
        <v>0</v>
      </c>
      <c r="U50" s="333">
        <f ca="1">IF(OR($A50="",TYPE(VLOOKUP($A50,Centrum!$D$3:$M$130,10,0))&gt;3),"",VLOOKUP(VLOOKUP($A50,Centrum!$D$3:$M$130,10,0),Centrum!$A$3:$CB$130,U$132,0))</f>
        <v>-5</v>
      </c>
      <c r="AB50" s="333">
        <f ca="1">IF(OR($A50="",TYPE(VLOOKUP($A50,Centrum!$D$3:$M$130,10,0))&gt;3),"",VLOOKUP(VLOOKUP($A50,Centrum!$D$3:$M$130,10,0),Centrum!$A$3:$CB$130,AB$132,0))</f>
        <v>32</v>
      </c>
      <c r="AC50" s="333">
        <f ca="1">IF(OR($A50="",TYPE(VLOOKUP($A50,Centrum!$D$3:$M$130,10,0))&gt;3),"",VLOOKUP(VLOOKUP($A50,Centrum!$D$3:$M$130,10,0),Centrum!$A$3:$CB$130,AC$132,0))</f>
        <v>0</v>
      </c>
      <c r="AD50" s="333">
        <f ca="1">IF(OR($A50="",TYPE(VLOOKUP($A50,Centrum!$D$3:$M$130,10,0))&gt;3),"",VLOOKUP(VLOOKUP($A50,Centrum!$D$3:$M$130,10,0),Centrum!$A$3:$CB$130,AD$132,0))</f>
        <v>-1</v>
      </c>
      <c r="AK50" s="333">
        <f ca="1">IF(OR($A50="",TYPE(VLOOKUP($A50,Centrum!$D$3:$M$130,10,0))&gt;3),"",VLOOKUP(VLOOKUP($A50,Centrum!$D$3:$M$130,10,0),Centrum!$A$3:$CB$130,AK$132,0))</f>
        <v>27</v>
      </c>
      <c r="AL50" s="333">
        <f ca="1">IF(OR($A50="",TYPE(VLOOKUP($A50,Centrum!$D$3:$M$130,10,0))&gt;3),"",VLOOKUP(VLOOKUP($A50,Centrum!$D$3:$M$130,10,0),Centrum!$A$3:$CB$130,AL$132,0))</f>
        <v>0</v>
      </c>
      <c r="AM50" s="333">
        <f ca="1">IF(OR($A50="",TYPE(VLOOKUP($A50,Centrum!$D$3:$M$130,10,0))&gt;3),"",VLOOKUP(VLOOKUP($A50,Centrum!$D$3:$M$130,10,0),Centrum!$A$3:$CB$130,AM$132,0))</f>
        <v>-10</v>
      </c>
      <c r="AT50" s="333" t="str">
        <f ca="1">IF(OR(OR($A50="",TYPE(VLOOKUP($A50,Centrum!$D$3:$M$130,10,0))&gt;3),$A$1&lt;4),"",VLOOKUP(VLOOKUP($A50,Centrum!$D$3:$M$130,10,0),Centrum!$A$3:$CB$130,AT$132,0))</f>
        <v/>
      </c>
      <c r="AU50" s="333">
        <f ca="1">IF(OR(OR($A50="",TYPE(VLOOKUP($A50,Centrum!$D$3:$M$130,10,0))&gt;3),$A$1&lt;4),"",VLOOKUP(VLOOKUP($A50,Centrum!$D$3:$M$130,10,0),Centrum!$A$3:$CB$130,AU$132,0))</f>
        <v>1</v>
      </c>
      <c r="AV50" s="333">
        <f ca="1">IF(OR(OR($A50="",TYPE(VLOOKUP($A50,Centrum!$D$3:$M$130,10,0))&gt;3),$A$1&lt;4),"",VLOOKUP(VLOOKUP($A50,Centrum!$D$3:$M$130,10,0),Centrum!$A$3:$CB$130,AV$132,0))</f>
        <v>6</v>
      </c>
      <c r="BC50" s="333" t="str">
        <f>IF(OR(OR($A50="",TYPE(VLOOKUP($A50,Centrum!$D$3:$M$130,10,0))&gt;3),$A$1&lt;5),"",VLOOKUP(VLOOKUP($A50,Centrum!$D$3:$M$130,10,0),Centrum!$A$3:$CB$130,BC$132,0))</f>
        <v/>
      </c>
      <c r="BD50" s="333" t="str">
        <f>IF(OR(OR($A50="",TYPE(VLOOKUP($A50,Centrum!$D$3:$M$130,10,0))&gt;3),$A$1&lt;5),"",VLOOKUP(VLOOKUP($A50,Centrum!$D$3:$M$130,10,0),Centrum!$A$3:$CB$130,BD$132,0))</f>
        <v/>
      </c>
      <c r="BE50" s="333" t="str">
        <f>IF(OR(OR($A50="",TYPE(VLOOKUP($A50,Centrum!$D$3:$M$130,10,0))&gt;3),$A$1&lt;5),"",VLOOKUP(VLOOKUP($A50,Centrum!$D$3:$M$130,10,0),Centrum!$A$3:$CB$130,BE$132,0))</f>
        <v/>
      </c>
      <c r="BL50" s="333" t="str">
        <f>IF(OR(OR($A50="",TYPE(VLOOKUP($A50,Centrum!$D$3:$M$130,10,0))&gt;3),$A$1&lt;6),"",VLOOKUP(VLOOKUP($A50,Centrum!$D$3:$M$130,10,0),Centrum!$A$3:$CB$130,BL$132,0))</f>
        <v/>
      </c>
      <c r="BM50" s="333" t="str">
        <f>IF(OR(OR($A50="",TYPE(VLOOKUP($A50,Centrum!$D$3:$M$130,10,0))&gt;3),$A$1&lt;6),"",VLOOKUP(VLOOKUP($A50,Centrum!$D$3:$M$130,10,0),Centrum!$A$3:$CB$130,BM$132,0))</f>
        <v/>
      </c>
      <c r="BN50" s="333" t="str">
        <f>IF(OR(OR($A50="",TYPE(VLOOKUP($A50,Centrum!$D$3:$M$130,10,0))&gt;3),$A$1&lt;6),"",VLOOKUP(VLOOKUP($A50,Centrum!$D$3:$M$130,10,0),Centrum!$A$3:$CB$130,BN$132,0))</f>
        <v/>
      </c>
    </row>
    <row r="51" spans="1:66" x14ac:dyDescent="0.25">
      <c r="A51" s="333">
        <f>Centrum!A51</f>
        <v>49</v>
      </c>
      <c r="B51" s="439" t="str">
        <f>IF(OR($A51="",TYPE(VLOOKUP($A51,Centrum!$D$3:$M$130,10,0))&gt;3),"",VLOOKUP(VLOOKUP(A51,Centrum!$D$3:$M$130,10,0),Centrum!$A$3:$CB$130,B$132,0))</f>
        <v>36 UBU Únětice - Pflimpflová Alexandra</v>
      </c>
      <c r="C51" s="333">
        <f>IF(OR($A51="",TYPE(VLOOKUP($A51,Centrum!$D$3:$M$130,10,0))&gt;3),"",VLOOKUP($A51,Centrum!$D$3:$M$130,10,0))</f>
        <v>36</v>
      </c>
      <c r="E51" s="333">
        <f ca="1">IF(OR($A51="",TYPE(VLOOKUP($A51,Centrum!$D$3:$M$130,10,0))&gt;3),"",VLOOKUP(VLOOKUP($A51,Centrum!$D$3:$M$130,10,0),Centrum!$A$3:$CB$130,E$132,0))</f>
        <v>0</v>
      </c>
      <c r="F51" s="333">
        <f ca="1">IF(OR($A51="",TYPE(VLOOKUP($A51,Centrum!$D$3:$M$130,10,0))&gt;3),"",VLOOKUP(VLOOKUP($A51,Centrum!$D$3:$M$130,10,0),Centrum!$A$3:$CB$130,F$132,0))</f>
        <v>7</v>
      </c>
      <c r="G51" s="333">
        <f ca="1">IF(OR($A51="",TYPE(VLOOKUP($A51,Centrum!$D$3:$M$130,10,0))&gt;3),"",VLOOKUP(VLOOKUP($A51,Centrum!$D$3:$M$130,10,0),Centrum!$A$3:$CB$130,G$132,0))</f>
        <v>28</v>
      </c>
      <c r="H51" s="333">
        <f ca="1">IF($A51="","",VLOOKUP(VLOOKUP($A51,Centrum!$D$3:$M$130,10,0),Centrum!$A$3:$CB$130,H$132,0))</f>
        <v>0</v>
      </c>
      <c r="I51" s="333">
        <f ca="1">IF($A51="","",VLOOKUP(VLOOKUP($A51,Centrum!$D$3:$M$130,10,0),Centrum!$A$3:$CB$130,I$132,0))</f>
        <v>0</v>
      </c>
      <c r="J51" s="333">
        <f ca="1">IF(OR($A51="",TYPE(VLOOKUP($A51,Centrum!$D$3:$M$130,10,0))&gt;3),"",VLOOKUP(VLOOKUP($A51,Centrum!$D$3:$M$130,10,0),Centrum!$A$3:$CB$130,J$132,0))</f>
        <v>-30</v>
      </c>
      <c r="L51" s="333">
        <f ca="1">IF(OR($A51="",TYPE(VLOOKUP($A51,Centrum!$D$3:$M$130,10,0))&gt;3),"",VLOOKUP(VLOOKUP($A51,Centrum!$D$3:$M$130,10,0),Centrum!$A$3:$CB$130,L$132,0))</f>
        <v>11</v>
      </c>
      <c r="M51" s="333">
        <f ca="1">IF(OR($A51="",TYPE(VLOOKUP($A51,Centrum!$D$3:$M$130,10,0))&gt;3),"",VLOOKUP(VLOOKUP($A51,Centrum!$D$3:$M$130,10,0),Centrum!$A$3:$CB$130,M$132,0))</f>
        <v>26</v>
      </c>
      <c r="N51" s="333">
        <f ca="1">IF(OR($A51="",TYPE(VLOOKUP($A51,Centrum!$D$3:$M$130,10,0))&gt;3),"",VLOOKUP(VLOOKUP($A51,Centrum!$D$3:$M$130,10,0),Centrum!$A$3:$CB$130,N$132,0))</f>
        <v>46</v>
      </c>
      <c r="O51" s="333">
        <f ca="1">IF(OR($A51="",TYPE(VLOOKUP($A51,Centrum!$D$3:$M$130,10,0))&gt;3),"",VLOOKUP(VLOOKUP($A51,Centrum!$D$3:$M$130,10,0),Centrum!$A$3:$CB$130,O$132,0))</f>
        <v>39</v>
      </c>
      <c r="P51" s="333">
        <f ca="1">IF(OR($A51="",TYPE(VLOOKUP($A51,Centrum!$D$3:$M$130,10,0))&gt;3),"",VLOOKUP(VLOOKUP($A51,Centrum!$D$3:$M$130,10,0),Centrum!$A$3:$CB$130,P$132,0))</f>
        <v>0</v>
      </c>
      <c r="Q51" s="333">
        <f ca="1">IF(OR($A51="",TYPE(VLOOKUP($A51,Centrum!$D$3:$M$130,10,0))&gt;3),"",VLOOKUP(VLOOKUP($A51,Centrum!$D$3:$M$130,10,0),Centrum!$A$3:$CB$130,Q$132,0))</f>
        <v>0</v>
      </c>
      <c r="S51" s="333">
        <f ca="1">IF(OR($A51="",TYPE(VLOOKUP($A51,Centrum!$D$3:$M$130,10,0))&gt;3),"",VLOOKUP(VLOOKUP($A51,Centrum!$D$3:$M$130,10,0),Centrum!$A$3:$CB$130,S$132,0))</f>
        <v>11</v>
      </c>
      <c r="T51" s="333">
        <f ca="1">IF(OR($A51="",TYPE(VLOOKUP($A51,Centrum!$D$3:$M$130,10,0))&gt;3),"",VLOOKUP(VLOOKUP($A51,Centrum!$D$3:$M$130,10,0),Centrum!$A$3:$CB$130,T$132,0))</f>
        <v>0</v>
      </c>
      <c r="U51" s="333">
        <f ca="1">IF(OR($A51="",TYPE(VLOOKUP($A51,Centrum!$D$3:$M$130,10,0))&gt;3),"",VLOOKUP(VLOOKUP($A51,Centrum!$D$3:$M$130,10,0),Centrum!$A$3:$CB$130,U$132,0))</f>
        <v>-6</v>
      </c>
      <c r="AB51" s="333">
        <f ca="1">IF(OR($A51="",TYPE(VLOOKUP($A51,Centrum!$D$3:$M$130,10,0))&gt;3),"",VLOOKUP(VLOOKUP($A51,Centrum!$D$3:$M$130,10,0),Centrum!$A$3:$CB$130,AB$132,0))</f>
        <v>26</v>
      </c>
      <c r="AC51" s="333">
        <f ca="1">IF(OR($A51="",TYPE(VLOOKUP($A51,Centrum!$D$3:$M$130,10,0))&gt;3),"",VLOOKUP(VLOOKUP($A51,Centrum!$D$3:$M$130,10,0),Centrum!$A$3:$CB$130,AC$132,0))</f>
        <v>0</v>
      </c>
      <c r="AD51" s="333">
        <f ca="1">IF(OR($A51="",TYPE(VLOOKUP($A51,Centrum!$D$3:$M$130,10,0))&gt;3),"",VLOOKUP(VLOOKUP($A51,Centrum!$D$3:$M$130,10,0),Centrum!$A$3:$CB$130,AD$132,0))</f>
        <v>-8</v>
      </c>
      <c r="AK51" s="333">
        <f ca="1">IF(OR($A51="",TYPE(VLOOKUP($A51,Centrum!$D$3:$M$130,10,0))&gt;3),"",VLOOKUP(VLOOKUP($A51,Centrum!$D$3:$M$130,10,0),Centrum!$A$3:$CB$130,AK$132,0))</f>
        <v>46</v>
      </c>
      <c r="AL51" s="333">
        <f ca="1">IF(OR($A51="",TYPE(VLOOKUP($A51,Centrum!$D$3:$M$130,10,0))&gt;3),"",VLOOKUP(VLOOKUP($A51,Centrum!$D$3:$M$130,10,0),Centrum!$A$3:$CB$130,AL$132,0))</f>
        <v>0</v>
      </c>
      <c r="AM51" s="333">
        <f ca="1">IF(OR($A51="",TYPE(VLOOKUP($A51,Centrum!$D$3:$M$130,10,0))&gt;3),"",VLOOKUP(VLOOKUP($A51,Centrum!$D$3:$M$130,10,0),Centrum!$A$3:$CB$130,AM$132,0))</f>
        <v>-7</v>
      </c>
      <c r="AT51" s="333">
        <f ca="1">IF(OR(OR($A51="",TYPE(VLOOKUP($A51,Centrum!$D$3:$M$130,10,0))&gt;3),$A$1&lt;4),"",VLOOKUP(VLOOKUP($A51,Centrum!$D$3:$M$130,10,0),Centrum!$A$3:$CB$130,AT$132,0))</f>
        <v>39</v>
      </c>
      <c r="AU51" s="333">
        <f ca="1">IF(OR(OR($A51="",TYPE(VLOOKUP($A51,Centrum!$D$3:$M$130,10,0))&gt;3),$A$1&lt;4),"",VLOOKUP(VLOOKUP($A51,Centrum!$D$3:$M$130,10,0),Centrum!$A$3:$CB$130,AU$132,0))</f>
        <v>0</v>
      </c>
      <c r="AV51" s="333">
        <f ca="1">IF(OR(OR($A51="",TYPE(VLOOKUP($A51,Centrum!$D$3:$M$130,10,0))&gt;3),$A$1&lt;4),"",VLOOKUP(VLOOKUP($A51,Centrum!$D$3:$M$130,10,0),Centrum!$A$3:$CB$130,AV$132,0))</f>
        <v>-9</v>
      </c>
      <c r="BC51" s="333" t="str">
        <f>IF(OR(OR($A51="",TYPE(VLOOKUP($A51,Centrum!$D$3:$M$130,10,0))&gt;3),$A$1&lt;5),"",VLOOKUP(VLOOKUP($A51,Centrum!$D$3:$M$130,10,0),Centrum!$A$3:$CB$130,BC$132,0))</f>
        <v/>
      </c>
      <c r="BD51" s="333" t="str">
        <f>IF(OR(OR($A51="",TYPE(VLOOKUP($A51,Centrum!$D$3:$M$130,10,0))&gt;3),$A$1&lt;5),"",VLOOKUP(VLOOKUP($A51,Centrum!$D$3:$M$130,10,0),Centrum!$A$3:$CB$130,BD$132,0))</f>
        <v/>
      </c>
      <c r="BE51" s="333" t="str">
        <f>IF(OR(OR($A51="",TYPE(VLOOKUP($A51,Centrum!$D$3:$M$130,10,0))&gt;3),$A$1&lt;5),"",VLOOKUP(VLOOKUP($A51,Centrum!$D$3:$M$130,10,0),Centrum!$A$3:$CB$130,BE$132,0))</f>
        <v/>
      </c>
      <c r="BL51" s="333" t="str">
        <f>IF(OR(OR($A51="",TYPE(VLOOKUP($A51,Centrum!$D$3:$M$130,10,0))&gt;3),$A$1&lt;6),"",VLOOKUP(VLOOKUP($A51,Centrum!$D$3:$M$130,10,0),Centrum!$A$3:$CB$130,BL$132,0))</f>
        <v/>
      </c>
      <c r="BM51" s="333" t="str">
        <f>IF(OR(OR($A51="",TYPE(VLOOKUP($A51,Centrum!$D$3:$M$130,10,0))&gt;3),$A$1&lt;6),"",VLOOKUP(VLOOKUP($A51,Centrum!$D$3:$M$130,10,0),Centrum!$A$3:$CB$130,BM$132,0))</f>
        <v/>
      </c>
      <c r="BN51" s="333" t="str">
        <f>IF(OR(OR($A51="",TYPE(VLOOKUP($A51,Centrum!$D$3:$M$130,10,0))&gt;3),$A$1&lt;6),"",VLOOKUP(VLOOKUP($A51,Centrum!$D$3:$M$130,10,0),Centrum!$A$3:$CB$130,BN$132,0))</f>
        <v/>
      </c>
    </row>
    <row r="52" spans="1:66" x14ac:dyDescent="0.25">
      <c r="A52" s="333">
        <f>Centrum!A52</f>
        <v>50</v>
      </c>
      <c r="B52" s="439" t="str">
        <f>IF(OR($A52="",TYPE(VLOOKUP($A52,Centrum!$D$3:$M$130,10,0))&gt;3),"",VLOOKUP(VLOOKUP(A52,Centrum!$D$3:$M$130,10,0),Centrum!$A$3:$CB$130,B$132,0))</f>
        <v>42 SK Španielka Řepy - Procházka Josef</v>
      </c>
      <c r="C52" s="333">
        <f>IF(OR($A52="",TYPE(VLOOKUP($A52,Centrum!$D$3:$M$130,10,0))&gt;3),"",VLOOKUP($A52,Centrum!$D$3:$M$130,10,0))</f>
        <v>42</v>
      </c>
      <c r="E52" s="333">
        <f ca="1">IF(OR($A52="",TYPE(VLOOKUP($A52,Centrum!$D$3:$M$130,10,0))&gt;3),"",VLOOKUP(VLOOKUP($A52,Centrum!$D$3:$M$130,10,0),Centrum!$A$3:$CB$130,E$132,0))</f>
        <v>0</v>
      </c>
      <c r="F52" s="333">
        <f ca="1">IF(OR($A52="",TYPE(VLOOKUP($A52,Centrum!$D$3:$M$130,10,0))&gt;3),"",VLOOKUP(VLOOKUP($A52,Centrum!$D$3:$M$130,10,0),Centrum!$A$3:$CB$130,F$132,0))</f>
        <v>7</v>
      </c>
      <c r="G52" s="333">
        <f ca="1">IF(OR($A52="",TYPE(VLOOKUP($A52,Centrum!$D$3:$M$130,10,0))&gt;3),"",VLOOKUP(VLOOKUP($A52,Centrum!$D$3:$M$130,10,0),Centrum!$A$3:$CB$130,G$132,0))</f>
        <v>28</v>
      </c>
      <c r="H52" s="333">
        <f ca="1">IF($A52="","",VLOOKUP(VLOOKUP($A52,Centrum!$D$3:$M$130,10,0),Centrum!$A$3:$CB$130,H$132,0))</f>
        <v>0</v>
      </c>
      <c r="I52" s="333">
        <f ca="1">IF($A52="","",VLOOKUP(VLOOKUP($A52,Centrum!$D$3:$M$130,10,0),Centrum!$A$3:$CB$130,I$132,0))</f>
        <v>0</v>
      </c>
      <c r="J52" s="333">
        <f ca="1">IF(OR($A52="",TYPE(VLOOKUP($A52,Centrum!$D$3:$M$130,10,0))&gt;3),"",VLOOKUP(VLOOKUP($A52,Centrum!$D$3:$M$130,10,0),Centrum!$A$3:$CB$130,J$132,0))</f>
        <v>-32</v>
      </c>
      <c r="L52" s="333">
        <f ca="1">IF(OR($A52="",TYPE(VLOOKUP($A52,Centrum!$D$3:$M$130,10,0))&gt;3),"",VLOOKUP(VLOOKUP($A52,Centrum!$D$3:$M$130,10,0),Centrum!$A$3:$CB$130,L$132,0))</f>
        <v>17</v>
      </c>
      <c r="M52" s="333">
        <f ca="1">IF(OR($A52="",TYPE(VLOOKUP($A52,Centrum!$D$3:$M$130,10,0))&gt;3),"",VLOOKUP(VLOOKUP($A52,Centrum!$D$3:$M$130,10,0),Centrum!$A$3:$CB$130,M$132,0))</f>
        <v>35</v>
      </c>
      <c r="N52" s="333">
        <f ca="1">IF(OR($A52="",TYPE(VLOOKUP($A52,Centrum!$D$3:$M$130,10,0))&gt;3),"",VLOOKUP(VLOOKUP($A52,Centrum!$D$3:$M$130,10,0),Centrum!$A$3:$CB$130,N$132,0))</f>
        <v>47</v>
      </c>
      <c r="O52" s="333">
        <f ca="1">IF(OR($A52="",TYPE(VLOOKUP($A52,Centrum!$D$3:$M$130,10,0))&gt;3),"",VLOOKUP(VLOOKUP($A52,Centrum!$D$3:$M$130,10,0),Centrum!$A$3:$CB$130,O$132,0))</f>
        <v>37</v>
      </c>
      <c r="P52" s="333">
        <f ca="1">IF(OR($A52="",TYPE(VLOOKUP($A52,Centrum!$D$3:$M$130,10,0))&gt;3),"",VLOOKUP(VLOOKUP($A52,Centrum!$D$3:$M$130,10,0),Centrum!$A$3:$CB$130,P$132,0))</f>
        <v>0</v>
      </c>
      <c r="Q52" s="333">
        <f ca="1">IF(OR($A52="",TYPE(VLOOKUP($A52,Centrum!$D$3:$M$130,10,0))&gt;3),"",VLOOKUP(VLOOKUP($A52,Centrum!$D$3:$M$130,10,0),Centrum!$A$3:$CB$130,Q$132,0))</f>
        <v>0</v>
      </c>
      <c r="S52" s="333">
        <f ca="1">IF(OR($A52="",TYPE(VLOOKUP($A52,Centrum!$D$3:$M$130,10,0))&gt;3),"",VLOOKUP(VLOOKUP($A52,Centrum!$D$3:$M$130,10,0),Centrum!$A$3:$CB$130,S$132,0))</f>
        <v>17</v>
      </c>
      <c r="T52" s="333">
        <f ca="1">IF(OR($A52="",TYPE(VLOOKUP($A52,Centrum!$D$3:$M$130,10,0))&gt;3),"",VLOOKUP(VLOOKUP($A52,Centrum!$D$3:$M$130,10,0),Centrum!$A$3:$CB$130,T$132,0))</f>
        <v>0</v>
      </c>
      <c r="U52" s="333">
        <f ca="1">IF(OR($A52="",TYPE(VLOOKUP($A52,Centrum!$D$3:$M$130,10,0))&gt;3),"",VLOOKUP(VLOOKUP($A52,Centrum!$D$3:$M$130,10,0),Centrum!$A$3:$CB$130,U$132,0))</f>
        <v>-9</v>
      </c>
      <c r="AB52" s="333">
        <f ca="1">IF(OR($A52="",TYPE(VLOOKUP($A52,Centrum!$D$3:$M$130,10,0))&gt;3),"",VLOOKUP(VLOOKUP($A52,Centrum!$D$3:$M$130,10,0),Centrum!$A$3:$CB$130,AB$132,0))</f>
        <v>35</v>
      </c>
      <c r="AC52" s="333">
        <f ca="1">IF(OR($A52="",TYPE(VLOOKUP($A52,Centrum!$D$3:$M$130,10,0))&gt;3),"",VLOOKUP(VLOOKUP($A52,Centrum!$D$3:$M$130,10,0),Centrum!$A$3:$CB$130,AC$132,0))</f>
        <v>0</v>
      </c>
      <c r="AD52" s="333">
        <f ca="1">IF(OR($A52="",TYPE(VLOOKUP($A52,Centrum!$D$3:$M$130,10,0))&gt;3),"",VLOOKUP(VLOOKUP($A52,Centrum!$D$3:$M$130,10,0),Centrum!$A$3:$CB$130,AD$132,0))</f>
        <v>-5</v>
      </c>
      <c r="AK52" s="333">
        <f ca="1">IF(OR($A52="",TYPE(VLOOKUP($A52,Centrum!$D$3:$M$130,10,0))&gt;3),"",VLOOKUP(VLOOKUP($A52,Centrum!$D$3:$M$130,10,0),Centrum!$A$3:$CB$130,AK$132,0))</f>
        <v>47</v>
      </c>
      <c r="AL52" s="333">
        <f ca="1">IF(OR($A52="",TYPE(VLOOKUP($A52,Centrum!$D$3:$M$130,10,0))&gt;3),"",VLOOKUP(VLOOKUP($A52,Centrum!$D$3:$M$130,10,0),Centrum!$A$3:$CB$130,AL$132,0))</f>
        <v>0</v>
      </c>
      <c r="AM52" s="333">
        <f ca="1">IF(OR($A52="",TYPE(VLOOKUP($A52,Centrum!$D$3:$M$130,10,0))&gt;3),"",VLOOKUP(VLOOKUP($A52,Centrum!$D$3:$M$130,10,0),Centrum!$A$3:$CB$130,AM$132,0))</f>
        <v>-6</v>
      </c>
      <c r="AT52" s="333">
        <f ca="1">IF(OR(OR($A52="",TYPE(VLOOKUP($A52,Centrum!$D$3:$M$130,10,0))&gt;3),$A$1&lt;4),"",VLOOKUP(VLOOKUP($A52,Centrum!$D$3:$M$130,10,0),Centrum!$A$3:$CB$130,AT$132,0))</f>
        <v>37</v>
      </c>
      <c r="AU52" s="333">
        <f ca="1">IF(OR(OR($A52="",TYPE(VLOOKUP($A52,Centrum!$D$3:$M$130,10,0))&gt;3),$A$1&lt;4),"",VLOOKUP(VLOOKUP($A52,Centrum!$D$3:$M$130,10,0),Centrum!$A$3:$CB$130,AU$132,0))</f>
        <v>0</v>
      </c>
      <c r="AV52" s="333">
        <f ca="1">IF(OR(OR($A52="",TYPE(VLOOKUP($A52,Centrum!$D$3:$M$130,10,0))&gt;3),$A$1&lt;4),"",VLOOKUP(VLOOKUP($A52,Centrum!$D$3:$M$130,10,0),Centrum!$A$3:$CB$130,AV$132,0))</f>
        <v>-12</v>
      </c>
      <c r="BC52" s="333" t="str">
        <f>IF(OR(OR($A52="",TYPE(VLOOKUP($A52,Centrum!$D$3:$M$130,10,0))&gt;3),$A$1&lt;5),"",VLOOKUP(VLOOKUP($A52,Centrum!$D$3:$M$130,10,0),Centrum!$A$3:$CB$130,BC$132,0))</f>
        <v/>
      </c>
      <c r="BD52" s="333" t="str">
        <f>IF(OR(OR($A52="",TYPE(VLOOKUP($A52,Centrum!$D$3:$M$130,10,0))&gt;3),$A$1&lt;5),"",VLOOKUP(VLOOKUP($A52,Centrum!$D$3:$M$130,10,0),Centrum!$A$3:$CB$130,BD$132,0))</f>
        <v/>
      </c>
      <c r="BE52" s="333" t="str">
        <f>IF(OR(OR($A52="",TYPE(VLOOKUP($A52,Centrum!$D$3:$M$130,10,0))&gt;3),$A$1&lt;5),"",VLOOKUP(VLOOKUP($A52,Centrum!$D$3:$M$130,10,0),Centrum!$A$3:$CB$130,BE$132,0))</f>
        <v/>
      </c>
      <c r="BL52" s="333" t="str">
        <f>IF(OR(OR($A52="",TYPE(VLOOKUP($A52,Centrum!$D$3:$M$130,10,0))&gt;3),$A$1&lt;6),"",VLOOKUP(VLOOKUP($A52,Centrum!$D$3:$M$130,10,0),Centrum!$A$3:$CB$130,BL$132,0))</f>
        <v/>
      </c>
      <c r="BM52" s="333" t="str">
        <f>IF(OR(OR($A52="",TYPE(VLOOKUP($A52,Centrum!$D$3:$M$130,10,0))&gt;3),$A$1&lt;6),"",VLOOKUP(VLOOKUP($A52,Centrum!$D$3:$M$130,10,0),Centrum!$A$3:$CB$130,BM$132,0))</f>
        <v/>
      </c>
      <c r="BN52" s="333" t="str">
        <f>IF(OR(OR($A52="",TYPE(VLOOKUP($A52,Centrum!$D$3:$M$130,10,0))&gt;3),$A$1&lt;6),"",VLOOKUP(VLOOKUP($A52,Centrum!$D$3:$M$130,10,0),Centrum!$A$3:$CB$130,BN$132,0))</f>
        <v/>
      </c>
    </row>
    <row r="53" spans="1:66" x14ac:dyDescent="0.25">
      <c r="A53" s="333">
        <f>Centrum!A53</f>
        <v>51</v>
      </c>
      <c r="B53" s="439" t="str">
        <f>IF(OR($A53="",TYPE(VLOOKUP($A53,Centrum!$D$3:$M$130,10,0))&gt;3),"",VLOOKUP(VLOOKUP(A53,Centrum!$D$3:$M$130,10,0),Centrum!$A$3:$CB$130,B$132,0))</f>
        <v>30 SKP Kulová osma - Slapnička Václav</v>
      </c>
      <c r="C53" s="333">
        <f>IF(OR($A53="",TYPE(VLOOKUP($A53,Centrum!$D$3:$M$130,10,0))&gt;3),"",VLOOKUP($A53,Centrum!$D$3:$M$130,10,0))</f>
        <v>30</v>
      </c>
      <c r="E53" s="333">
        <f ca="1">IF(OR($A53="",TYPE(VLOOKUP($A53,Centrum!$D$3:$M$130,10,0))&gt;3),"",VLOOKUP(VLOOKUP($A53,Centrum!$D$3:$M$130,10,0),Centrum!$A$3:$CB$130,E$132,0))</f>
        <v>0</v>
      </c>
      <c r="F53" s="333">
        <f ca="1">IF(OR($A53="",TYPE(VLOOKUP($A53,Centrum!$D$3:$M$130,10,0))&gt;3),"",VLOOKUP(VLOOKUP($A53,Centrum!$D$3:$M$130,10,0),Centrum!$A$3:$CB$130,F$132,0))</f>
        <v>7</v>
      </c>
      <c r="G53" s="333">
        <f ca="1">IF(OR($A53="",TYPE(VLOOKUP($A53,Centrum!$D$3:$M$130,10,0))&gt;3),"",VLOOKUP(VLOOKUP($A53,Centrum!$D$3:$M$130,10,0),Centrum!$A$3:$CB$130,G$132,0))</f>
        <v>27</v>
      </c>
      <c r="H53" s="333">
        <f ca="1">IF($A53="","",VLOOKUP(VLOOKUP($A53,Centrum!$D$3:$M$130,10,0),Centrum!$A$3:$CB$130,H$132,0))</f>
        <v>0</v>
      </c>
      <c r="I53" s="333">
        <f ca="1">IF($A53="","",VLOOKUP(VLOOKUP($A53,Centrum!$D$3:$M$130,10,0),Centrum!$A$3:$CB$130,I$132,0))</f>
        <v>0</v>
      </c>
      <c r="J53" s="333">
        <f ca="1">IF(OR($A53="",TYPE(VLOOKUP($A53,Centrum!$D$3:$M$130,10,0))&gt;3),"",VLOOKUP(VLOOKUP($A53,Centrum!$D$3:$M$130,10,0),Centrum!$A$3:$CB$130,J$132,0))</f>
        <v>-14</v>
      </c>
      <c r="L53" s="333">
        <f ca="1">IF(OR($A53="",TYPE(VLOOKUP($A53,Centrum!$D$3:$M$130,10,0))&gt;3),"",VLOOKUP(VLOOKUP($A53,Centrum!$D$3:$M$130,10,0),Centrum!$A$3:$CB$130,L$132,0))</f>
        <v>5</v>
      </c>
      <c r="M53" s="333">
        <f ca="1">IF(OR($A53="",TYPE(VLOOKUP($A53,Centrum!$D$3:$M$130,10,0))&gt;3),"",VLOOKUP(VLOOKUP($A53,Centrum!$D$3:$M$130,10,0),Centrum!$A$3:$CB$130,M$132,0))</f>
        <v>28</v>
      </c>
      <c r="N53" s="333">
        <f ca="1">IF(OR($A53="",TYPE(VLOOKUP($A53,Centrum!$D$3:$M$130,10,0))&gt;3),"",VLOOKUP(VLOOKUP($A53,Centrum!$D$3:$M$130,10,0),Centrum!$A$3:$CB$130,N$132,0))</f>
        <v>41</v>
      </c>
      <c r="O53" s="333">
        <f ca="1">IF(OR($A53="",TYPE(VLOOKUP($A53,Centrum!$D$3:$M$130,10,0))&gt;3),"",VLOOKUP(VLOOKUP($A53,Centrum!$D$3:$M$130,10,0),Centrum!$A$3:$CB$130,O$132,0))</f>
        <v>18</v>
      </c>
      <c r="P53" s="333">
        <f ca="1">IF(OR($A53="",TYPE(VLOOKUP($A53,Centrum!$D$3:$M$130,10,0))&gt;3),"",VLOOKUP(VLOOKUP($A53,Centrum!$D$3:$M$130,10,0),Centrum!$A$3:$CB$130,P$132,0))</f>
        <v>0</v>
      </c>
      <c r="Q53" s="333">
        <f ca="1">IF(OR($A53="",TYPE(VLOOKUP($A53,Centrum!$D$3:$M$130,10,0))&gt;3),"",VLOOKUP(VLOOKUP($A53,Centrum!$D$3:$M$130,10,0),Centrum!$A$3:$CB$130,Q$132,0))</f>
        <v>0</v>
      </c>
      <c r="S53" s="333">
        <f ca="1">IF(OR($A53="",TYPE(VLOOKUP($A53,Centrum!$D$3:$M$130,10,0))&gt;3),"",VLOOKUP(VLOOKUP($A53,Centrum!$D$3:$M$130,10,0),Centrum!$A$3:$CB$130,S$132,0))</f>
        <v>5</v>
      </c>
      <c r="T53" s="333">
        <f ca="1">IF(OR($A53="",TYPE(VLOOKUP($A53,Centrum!$D$3:$M$130,10,0))&gt;3),"",VLOOKUP(VLOOKUP($A53,Centrum!$D$3:$M$130,10,0),Centrum!$A$3:$CB$130,T$132,0))</f>
        <v>0</v>
      </c>
      <c r="U53" s="333">
        <f ca="1">IF(OR($A53="",TYPE(VLOOKUP($A53,Centrum!$D$3:$M$130,10,0))&gt;3),"",VLOOKUP(VLOOKUP($A53,Centrum!$D$3:$M$130,10,0),Centrum!$A$3:$CB$130,U$132,0))</f>
        <v>-3</v>
      </c>
      <c r="AB53" s="333">
        <f ca="1">IF(OR($A53="",TYPE(VLOOKUP($A53,Centrum!$D$3:$M$130,10,0))&gt;3),"",VLOOKUP(VLOOKUP($A53,Centrum!$D$3:$M$130,10,0),Centrum!$A$3:$CB$130,AB$132,0))</f>
        <v>28</v>
      </c>
      <c r="AC53" s="333">
        <f ca="1">IF(OR($A53="",TYPE(VLOOKUP($A53,Centrum!$D$3:$M$130,10,0))&gt;3),"",VLOOKUP(VLOOKUP($A53,Centrum!$D$3:$M$130,10,0),Centrum!$A$3:$CB$130,AC$132,0))</f>
        <v>0</v>
      </c>
      <c r="AD53" s="333">
        <f ca="1">IF(OR($A53="",TYPE(VLOOKUP($A53,Centrum!$D$3:$M$130,10,0))&gt;3),"",VLOOKUP(VLOOKUP($A53,Centrum!$D$3:$M$130,10,0),Centrum!$A$3:$CB$130,AD$132,0))</f>
        <v>-9</v>
      </c>
      <c r="AK53" s="333">
        <f ca="1">IF(OR($A53="",TYPE(VLOOKUP($A53,Centrum!$D$3:$M$130,10,0))&gt;3),"",VLOOKUP(VLOOKUP($A53,Centrum!$D$3:$M$130,10,0),Centrum!$A$3:$CB$130,AK$132,0))</f>
        <v>41</v>
      </c>
      <c r="AL53" s="333">
        <f ca="1">IF(OR($A53="",TYPE(VLOOKUP($A53,Centrum!$D$3:$M$130,10,0))&gt;3),"",VLOOKUP(VLOOKUP($A53,Centrum!$D$3:$M$130,10,0),Centrum!$A$3:$CB$130,AL$132,0))</f>
        <v>0</v>
      </c>
      <c r="AM53" s="333">
        <f ca="1">IF(OR($A53="",TYPE(VLOOKUP($A53,Centrum!$D$3:$M$130,10,0))&gt;3),"",VLOOKUP(VLOOKUP($A53,Centrum!$D$3:$M$130,10,0),Centrum!$A$3:$CB$130,AM$132,0))</f>
        <v>-1</v>
      </c>
      <c r="AT53" s="333">
        <f ca="1">IF(OR(OR($A53="",TYPE(VLOOKUP($A53,Centrum!$D$3:$M$130,10,0))&gt;3),$A$1&lt;4),"",VLOOKUP(VLOOKUP($A53,Centrum!$D$3:$M$130,10,0),Centrum!$A$3:$CB$130,AT$132,0))</f>
        <v>18</v>
      </c>
      <c r="AU53" s="333">
        <f ca="1">IF(OR(OR($A53="",TYPE(VLOOKUP($A53,Centrum!$D$3:$M$130,10,0))&gt;3),$A$1&lt;4),"",VLOOKUP(VLOOKUP($A53,Centrum!$D$3:$M$130,10,0),Centrum!$A$3:$CB$130,AU$132,0))</f>
        <v>0</v>
      </c>
      <c r="AV53" s="333">
        <f ca="1">IF(OR(OR($A53="",TYPE(VLOOKUP($A53,Centrum!$D$3:$M$130,10,0))&gt;3),$A$1&lt;4),"",VLOOKUP(VLOOKUP($A53,Centrum!$D$3:$M$130,10,0),Centrum!$A$3:$CB$130,AV$132,0))</f>
        <v>-1</v>
      </c>
      <c r="BC53" s="333" t="str">
        <f>IF(OR(OR($A53="",TYPE(VLOOKUP($A53,Centrum!$D$3:$M$130,10,0))&gt;3),$A$1&lt;5),"",VLOOKUP(VLOOKUP($A53,Centrum!$D$3:$M$130,10,0),Centrum!$A$3:$CB$130,BC$132,0))</f>
        <v/>
      </c>
      <c r="BD53" s="333" t="str">
        <f>IF(OR(OR($A53="",TYPE(VLOOKUP($A53,Centrum!$D$3:$M$130,10,0))&gt;3),$A$1&lt;5),"",VLOOKUP(VLOOKUP($A53,Centrum!$D$3:$M$130,10,0),Centrum!$A$3:$CB$130,BD$132,0))</f>
        <v/>
      </c>
      <c r="BE53" s="333" t="str">
        <f>IF(OR(OR($A53="",TYPE(VLOOKUP($A53,Centrum!$D$3:$M$130,10,0))&gt;3),$A$1&lt;5),"",VLOOKUP(VLOOKUP($A53,Centrum!$D$3:$M$130,10,0),Centrum!$A$3:$CB$130,BE$132,0))</f>
        <v/>
      </c>
      <c r="BL53" s="333" t="str">
        <f>IF(OR(OR($A53="",TYPE(VLOOKUP($A53,Centrum!$D$3:$M$130,10,0))&gt;3),$A$1&lt;6),"",VLOOKUP(VLOOKUP($A53,Centrum!$D$3:$M$130,10,0),Centrum!$A$3:$CB$130,BL$132,0))</f>
        <v/>
      </c>
      <c r="BM53" s="333" t="str">
        <f>IF(OR(OR($A53="",TYPE(VLOOKUP($A53,Centrum!$D$3:$M$130,10,0))&gt;3),$A$1&lt;6),"",VLOOKUP(VLOOKUP($A53,Centrum!$D$3:$M$130,10,0),Centrum!$A$3:$CB$130,BM$132,0))</f>
        <v/>
      </c>
      <c r="BN53" s="333" t="str">
        <f>IF(OR(OR($A53="",TYPE(VLOOKUP($A53,Centrum!$D$3:$M$130,10,0))&gt;3),$A$1&lt;6),"",VLOOKUP(VLOOKUP($A53,Centrum!$D$3:$M$130,10,0),Centrum!$A$3:$CB$130,BN$132,0))</f>
        <v/>
      </c>
    </row>
    <row r="54" spans="1:66" x14ac:dyDescent="0.25">
      <c r="A54" s="333" t="str">
        <f>Centrum!A54</f>
        <v/>
      </c>
      <c r="B54" s="439" t="str">
        <f>IF(OR($A54="",TYPE(VLOOKUP($A54,Centrum!$D$3:$M$130,10,0))&gt;3),"",VLOOKUP(VLOOKUP(A54,Centrum!$D$3:$M$130,10,0),Centrum!$A$3:$CB$130,B$132,0))</f>
        <v/>
      </c>
      <c r="C54" s="333" t="str">
        <f>IF(OR($A54="",TYPE(VLOOKUP($A54,Centrum!$D$3:$M$130,10,0))&gt;3),"",VLOOKUP($A54,Centrum!$D$3:$M$130,10,0))</f>
        <v/>
      </c>
      <c r="E54" s="333" t="str">
        <f>IF(OR($A54="",TYPE(VLOOKUP($A54,Centrum!$D$3:$M$130,10,0))&gt;3),"",VLOOKUP(VLOOKUP($A54,Centrum!$D$3:$M$130,10,0),Centrum!$A$3:$CB$130,E$132,0))</f>
        <v/>
      </c>
      <c r="F54" s="333" t="str">
        <f>IF(OR($A54="",TYPE(VLOOKUP($A54,Centrum!$D$3:$M$130,10,0))&gt;3),"",VLOOKUP(VLOOKUP($A54,Centrum!$D$3:$M$130,10,0),Centrum!$A$3:$CB$130,F$132,0))</f>
        <v/>
      </c>
      <c r="G54" s="333" t="str">
        <f>IF(OR($A54="",TYPE(VLOOKUP($A54,Centrum!$D$3:$M$130,10,0))&gt;3),"",VLOOKUP(VLOOKUP($A54,Centrum!$D$3:$M$130,10,0),Centrum!$A$3:$CB$130,G$132,0))</f>
        <v/>
      </c>
      <c r="H54" s="333" t="str">
        <f>IF($A54="","",VLOOKUP(VLOOKUP($A54,Centrum!$D$3:$M$130,10,0),Centrum!$A$3:$CB$130,H$132,0))</f>
        <v/>
      </c>
      <c r="I54" s="333" t="str">
        <f>IF($A54="","",VLOOKUP(VLOOKUP($A54,Centrum!$D$3:$M$130,10,0),Centrum!$A$3:$CB$130,I$132,0))</f>
        <v/>
      </c>
      <c r="J54" s="333" t="str">
        <f>IF(OR($A54="",TYPE(VLOOKUP($A54,Centrum!$D$3:$M$130,10,0))&gt;3),"",VLOOKUP(VLOOKUP($A54,Centrum!$D$3:$M$130,10,0),Centrum!$A$3:$CB$130,J$132,0))</f>
        <v/>
      </c>
      <c r="L54" s="333" t="str">
        <f>IF(OR($A54="",TYPE(VLOOKUP($A54,Centrum!$D$3:$M$130,10,0))&gt;3),"",VLOOKUP(VLOOKUP($A54,Centrum!$D$3:$M$130,10,0),Centrum!$A$3:$CB$130,L$132,0))</f>
        <v/>
      </c>
      <c r="M54" s="333" t="str">
        <f>IF(OR($A54="",TYPE(VLOOKUP($A54,Centrum!$D$3:$M$130,10,0))&gt;3),"",VLOOKUP(VLOOKUP($A54,Centrum!$D$3:$M$130,10,0),Centrum!$A$3:$CB$130,M$132,0))</f>
        <v/>
      </c>
      <c r="N54" s="333" t="str">
        <f>IF(OR($A54="",TYPE(VLOOKUP($A54,Centrum!$D$3:$M$130,10,0))&gt;3),"",VLOOKUP(VLOOKUP($A54,Centrum!$D$3:$M$130,10,0),Centrum!$A$3:$CB$130,N$132,0))</f>
        <v/>
      </c>
      <c r="O54" s="333" t="str">
        <f>IF(OR($A54="",TYPE(VLOOKUP($A54,Centrum!$D$3:$M$130,10,0))&gt;3),"",VLOOKUP(VLOOKUP($A54,Centrum!$D$3:$M$130,10,0),Centrum!$A$3:$CB$130,O$132,0))</f>
        <v/>
      </c>
      <c r="P54" s="333" t="str">
        <f>IF(OR($A54="",TYPE(VLOOKUP($A54,Centrum!$D$3:$M$130,10,0))&gt;3),"",VLOOKUP(VLOOKUP($A54,Centrum!$D$3:$M$130,10,0),Centrum!$A$3:$CB$130,P$132,0))</f>
        <v/>
      </c>
      <c r="Q54" s="333" t="str">
        <f>IF(OR($A54="",TYPE(VLOOKUP($A54,Centrum!$D$3:$M$130,10,0))&gt;3),"",VLOOKUP(VLOOKUP($A54,Centrum!$D$3:$M$130,10,0),Centrum!$A$3:$CB$130,Q$132,0))</f>
        <v/>
      </c>
      <c r="S54" s="333" t="str">
        <f>IF(OR($A54="",TYPE(VLOOKUP($A54,Centrum!$D$3:$M$130,10,0))&gt;3),"",VLOOKUP(VLOOKUP($A54,Centrum!$D$3:$M$130,10,0),Centrum!$A$3:$CB$130,S$132,0))</f>
        <v/>
      </c>
      <c r="T54" s="333" t="str">
        <f>IF(OR($A54="",TYPE(VLOOKUP($A54,Centrum!$D$3:$M$130,10,0))&gt;3),"",VLOOKUP(VLOOKUP($A54,Centrum!$D$3:$M$130,10,0),Centrum!$A$3:$CB$130,T$132,0))</f>
        <v/>
      </c>
      <c r="U54" s="333" t="str">
        <f>IF(OR($A54="",TYPE(VLOOKUP($A54,Centrum!$D$3:$M$130,10,0))&gt;3),"",VLOOKUP(VLOOKUP($A54,Centrum!$D$3:$M$130,10,0),Centrum!$A$3:$CB$130,U$132,0))</f>
        <v/>
      </c>
      <c r="AB54" s="333" t="str">
        <f>IF(OR($A54="",TYPE(VLOOKUP($A54,Centrum!$D$3:$M$130,10,0))&gt;3),"",VLOOKUP(VLOOKUP($A54,Centrum!$D$3:$M$130,10,0),Centrum!$A$3:$CB$130,AB$132,0))</f>
        <v/>
      </c>
      <c r="AC54" s="333" t="str">
        <f>IF(OR($A54="",TYPE(VLOOKUP($A54,Centrum!$D$3:$M$130,10,0))&gt;3),"",VLOOKUP(VLOOKUP($A54,Centrum!$D$3:$M$130,10,0),Centrum!$A$3:$CB$130,AC$132,0))</f>
        <v/>
      </c>
      <c r="AD54" s="333" t="str">
        <f>IF(OR($A54="",TYPE(VLOOKUP($A54,Centrum!$D$3:$M$130,10,0))&gt;3),"",VLOOKUP(VLOOKUP($A54,Centrum!$D$3:$M$130,10,0),Centrum!$A$3:$CB$130,AD$132,0))</f>
        <v/>
      </c>
      <c r="AK54" s="333" t="str">
        <f>IF(OR($A54="",TYPE(VLOOKUP($A54,Centrum!$D$3:$M$130,10,0))&gt;3),"",VLOOKUP(VLOOKUP($A54,Centrum!$D$3:$M$130,10,0),Centrum!$A$3:$CB$130,AK$132,0))</f>
        <v/>
      </c>
      <c r="AL54" s="333" t="str">
        <f>IF(OR($A54="",TYPE(VLOOKUP($A54,Centrum!$D$3:$M$130,10,0))&gt;3),"",VLOOKUP(VLOOKUP($A54,Centrum!$D$3:$M$130,10,0),Centrum!$A$3:$CB$130,AL$132,0))</f>
        <v/>
      </c>
      <c r="AM54" s="333" t="str">
        <f>IF(OR($A54="",TYPE(VLOOKUP($A54,Centrum!$D$3:$M$130,10,0))&gt;3),"",VLOOKUP(VLOOKUP($A54,Centrum!$D$3:$M$130,10,0),Centrum!$A$3:$CB$130,AM$132,0))</f>
        <v/>
      </c>
      <c r="AT54" s="333" t="str">
        <f>IF(OR(OR($A54="",TYPE(VLOOKUP($A54,Centrum!$D$3:$M$130,10,0))&gt;3),$A$1&lt;4),"",VLOOKUP(VLOOKUP($A54,Centrum!$D$3:$M$130,10,0),Centrum!$A$3:$CB$130,AT$132,0))</f>
        <v/>
      </c>
      <c r="AU54" s="333" t="str">
        <f>IF(OR(OR($A54="",TYPE(VLOOKUP($A54,Centrum!$D$3:$M$130,10,0))&gt;3),$A$1&lt;4),"",VLOOKUP(VLOOKUP($A54,Centrum!$D$3:$M$130,10,0),Centrum!$A$3:$CB$130,AU$132,0))</f>
        <v/>
      </c>
      <c r="AV54" s="333" t="str">
        <f>IF(OR(OR($A54="",TYPE(VLOOKUP($A54,Centrum!$D$3:$M$130,10,0))&gt;3),$A$1&lt;4),"",VLOOKUP(VLOOKUP($A54,Centrum!$D$3:$M$130,10,0),Centrum!$A$3:$CB$130,AV$132,0))</f>
        <v/>
      </c>
      <c r="BC54" s="333" t="str">
        <f>IF(OR(OR($A54="",TYPE(VLOOKUP($A54,Centrum!$D$3:$M$130,10,0))&gt;3),$A$1&lt;5),"",VLOOKUP(VLOOKUP($A54,Centrum!$D$3:$M$130,10,0),Centrum!$A$3:$CB$130,BC$132,0))</f>
        <v/>
      </c>
      <c r="BD54" s="333" t="str">
        <f>IF(OR(OR($A54="",TYPE(VLOOKUP($A54,Centrum!$D$3:$M$130,10,0))&gt;3),$A$1&lt;5),"",VLOOKUP(VLOOKUP($A54,Centrum!$D$3:$M$130,10,0),Centrum!$A$3:$CB$130,BD$132,0))</f>
        <v/>
      </c>
      <c r="BE54" s="333" t="str">
        <f>IF(OR(OR($A54="",TYPE(VLOOKUP($A54,Centrum!$D$3:$M$130,10,0))&gt;3),$A$1&lt;5),"",VLOOKUP(VLOOKUP($A54,Centrum!$D$3:$M$130,10,0),Centrum!$A$3:$CB$130,BE$132,0))</f>
        <v/>
      </c>
      <c r="BL54" s="333" t="str">
        <f>IF(OR(OR($A54="",TYPE(VLOOKUP($A54,Centrum!$D$3:$M$130,10,0))&gt;3),$A$1&lt;6),"",VLOOKUP(VLOOKUP($A54,Centrum!$D$3:$M$130,10,0),Centrum!$A$3:$CB$130,BL$132,0))</f>
        <v/>
      </c>
      <c r="BM54" s="333" t="str">
        <f>IF(OR(OR($A54="",TYPE(VLOOKUP($A54,Centrum!$D$3:$M$130,10,0))&gt;3),$A$1&lt;6),"",VLOOKUP(VLOOKUP($A54,Centrum!$D$3:$M$130,10,0),Centrum!$A$3:$CB$130,BM$132,0))</f>
        <v/>
      </c>
      <c r="BN54" s="333" t="str">
        <f>IF(OR(OR($A54="",TYPE(VLOOKUP($A54,Centrum!$D$3:$M$130,10,0))&gt;3),$A$1&lt;6),"",VLOOKUP(VLOOKUP($A54,Centrum!$D$3:$M$130,10,0),Centrum!$A$3:$CB$130,BN$132,0))</f>
        <v/>
      </c>
    </row>
    <row r="55" spans="1:66" x14ac:dyDescent="0.25">
      <c r="A55" s="333" t="str">
        <f>Centrum!A55</f>
        <v/>
      </c>
      <c r="B55" s="439" t="str">
        <f>IF(OR($A55="",TYPE(VLOOKUP($A55,Centrum!$D$3:$M$130,10,0))&gt;3),"",VLOOKUP(VLOOKUP(A55,Centrum!$D$3:$M$130,10,0),Centrum!$A$3:$CB$130,B$132,0))</f>
        <v/>
      </c>
      <c r="C55" s="333" t="str">
        <f>IF(OR($A55="",TYPE(VLOOKUP($A55,Centrum!$D$3:$M$130,10,0))&gt;3),"",VLOOKUP($A55,Centrum!$D$3:$M$130,10,0))</f>
        <v/>
      </c>
      <c r="E55" s="333" t="str">
        <f>IF(OR($A55="",TYPE(VLOOKUP($A55,Centrum!$D$3:$M$130,10,0))&gt;3),"",VLOOKUP(VLOOKUP($A55,Centrum!$D$3:$M$130,10,0),Centrum!$A$3:$CB$130,E$132,0))</f>
        <v/>
      </c>
      <c r="F55" s="333" t="str">
        <f>IF(OR($A55="",TYPE(VLOOKUP($A55,Centrum!$D$3:$M$130,10,0))&gt;3),"",VLOOKUP(VLOOKUP($A55,Centrum!$D$3:$M$130,10,0),Centrum!$A$3:$CB$130,F$132,0))</f>
        <v/>
      </c>
      <c r="G55" s="333" t="str">
        <f>IF(OR($A55="",TYPE(VLOOKUP($A55,Centrum!$D$3:$M$130,10,0))&gt;3),"",VLOOKUP(VLOOKUP($A55,Centrum!$D$3:$M$130,10,0),Centrum!$A$3:$CB$130,G$132,0))</f>
        <v/>
      </c>
      <c r="H55" s="333" t="str">
        <f>IF($A55="","",VLOOKUP(VLOOKUP($A55,Centrum!$D$3:$M$130,10,0),Centrum!$A$3:$CB$130,H$132,0))</f>
        <v/>
      </c>
      <c r="I55" s="333" t="str">
        <f>IF($A55="","",VLOOKUP(VLOOKUP($A55,Centrum!$D$3:$M$130,10,0),Centrum!$A$3:$CB$130,I$132,0))</f>
        <v/>
      </c>
      <c r="J55" s="333" t="str">
        <f>IF(OR($A55="",TYPE(VLOOKUP($A55,Centrum!$D$3:$M$130,10,0))&gt;3),"",VLOOKUP(VLOOKUP($A55,Centrum!$D$3:$M$130,10,0),Centrum!$A$3:$CB$130,J$132,0))</f>
        <v/>
      </c>
      <c r="L55" s="333" t="str">
        <f>IF(OR($A55="",TYPE(VLOOKUP($A55,Centrum!$D$3:$M$130,10,0))&gt;3),"",VLOOKUP(VLOOKUP($A55,Centrum!$D$3:$M$130,10,0),Centrum!$A$3:$CB$130,L$132,0))</f>
        <v/>
      </c>
      <c r="M55" s="333" t="str">
        <f>IF(OR($A55="",TYPE(VLOOKUP($A55,Centrum!$D$3:$M$130,10,0))&gt;3),"",VLOOKUP(VLOOKUP($A55,Centrum!$D$3:$M$130,10,0),Centrum!$A$3:$CB$130,M$132,0))</f>
        <v/>
      </c>
      <c r="N55" s="333" t="str">
        <f>IF(OR($A55="",TYPE(VLOOKUP($A55,Centrum!$D$3:$M$130,10,0))&gt;3),"",VLOOKUP(VLOOKUP($A55,Centrum!$D$3:$M$130,10,0),Centrum!$A$3:$CB$130,N$132,0))</f>
        <v/>
      </c>
      <c r="O55" s="333" t="str">
        <f>IF(OR($A55="",TYPE(VLOOKUP($A55,Centrum!$D$3:$M$130,10,0))&gt;3),"",VLOOKUP(VLOOKUP($A55,Centrum!$D$3:$M$130,10,0),Centrum!$A$3:$CB$130,O$132,0))</f>
        <v/>
      </c>
      <c r="P55" s="333" t="str">
        <f>IF(OR($A55="",TYPE(VLOOKUP($A55,Centrum!$D$3:$M$130,10,0))&gt;3),"",VLOOKUP(VLOOKUP($A55,Centrum!$D$3:$M$130,10,0),Centrum!$A$3:$CB$130,P$132,0))</f>
        <v/>
      </c>
      <c r="Q55" s="333" t="str">
        <f>IF(OR($A55="",TYPE(VLOOKUP($A55,Centrum!$D$3:$M$130,10,0))&gt;3),"",VLOOKUP(VLOOKUP($A55,Centrum!$D$3:$M$130,10,0),Centrum!$A$3:$CB$130,Q$132,0))</f>
        <v/>
      </c>
      <c r="S55" s="333" t="str">
        <f>IF(OR($A55="",TYPE(VLOOKUP($A55,Centrum!$D$3:$M$130,10,0))&gt;3),"",VLOOKUP(VLOOKUP($A55,Centrum!$D$3:$M$130,10,0),Centrum!$A$3:$CB$130,S$132,0))</f>
        <v/>
      </c>
      <c r="T55" s="333" t="str">
        <f>IF(OR($A55="",TYPE(VLOOKUP($A55,Centrum!$D$3:$M$130,10,0))&gt;3),"",VLOOKUP(VLOOKUP($A55,Centrum!$D$3:$M$130,10,0),Centrum!$A$3:$CB$130,T$132,0))</f>
        <v/>
      </c>
      <c r="U55" s="333" t="str">
        <f>IF(OR($A55="",TYPE(VLOOKUP($A55,Centrum!$D$3:$M$130,10,0))&gt;3),"",VLOOKUP(VLOOKUP($A55,Centrum!$D$3:$M$130,10,0),Centrum!$A$3:$CB$130,U$132,0))</f>
        <v/>
      </c>
      <c r="AB55" s="333" t="str">
        <f>IF(OR($A55="",TYPE(VLOOKUP($A55,Centrum!$D$3:$M$130,10,0))&gt;3),"",VLOOKUP(VLOOKUP($A55,Centrum!$D$3:$M$130,10,0),Centrum!$A$3:$CB$130,AB$132,0))</f>
        <v/>
      </c>
      <c r="AC55" s="333" t="str">
        <f>IF(OR($A55="",TYPE(VLOOKUP($A55,Centrum!$D$3:$M$130,10,0))&gt;3),"",VLOOKUP(VLOOKUP($A55,Centrum!$D$3:$M$130,10,0),Centrum!$A$3:$CB$130,AC$132,0))</f>
        <v/>
      </c>
      <c r="AD55" s="333" t="str">
        <f>IF(OR($A55="",TYPE(VLOOKUP($A55,Centrum!$D$3:$M$130,10,0))&gt;3),"",VLOOKUP(VLOOKUP($A55,Centrum!$D$3:$M$130,10,0),Centrum!$A$3:$CB$130,AD$132,0))</f>
        <v/>
      </c>
      <c r="AK55" s="333" t="str">
        <f>IF(OR($A55="",TYPE(VLOOKUP($A55,Centrum!$D$3:$M$130,10,0))&gt;3),"",VLOOKUP(VLOOKUP($A55,Centrum!$D$3:$M$130,10,0),Centrum!$A$3:$CB$130,AK$132,0))</f>
        <v/>
      </c>
      <c r="AL55" s="333" t="str">
        <f>IF(OR($A55="",TYPE(VLOOKUP($A55,Centrum!$D$3:$M$130,10,0))&gt;3),"",VLOOKUP(VLOOKUP($A55,Centrum!$D$3:$M$130,10,0),Centrum!$A$3:$CB$130,AL$132,0))</f>
        <v/>
      </c>
      <c r="AM55" s="333" t="str">
        <f>IF(OR($A55="",TYPE(VLOOKUP($A55,Centrum!$D$3:$M$130,10,0))&gt;3),"",VLOOKUP(VLOOKUP($A55,Centrum!$D$3:$M$130,10,0),Centrum!$A$3:$CB$130,AM$132,0))</f>
        <v/>
      </c>
      <c r="AT55" s="333" t="str">
        <f>IF(OR(OR($A55="",TYPE(VLOOKUP($A55,Centrum!$D$3:$M$130,10,0))&gt;3),$A$1&lt;4),"",VLOOKUP(VLOOKUP($A55,Centrum!$D$3:$M$130,10,0),Centrum!$A$3:$CB$130,AT$132,0))</f>
        <v/>
      </c>
      <c r="AU55" s="333" t="str">
        <f>IF(OR(OR($A55="",TYPE(VLOOKUP($A55,Centrum!$D$3:$M$130,10,0))&gt;3),$A$1&lt;4),"",VLOOKUP(VLOOKUP($A55,Centrum!$D$3:$M$130,10,0),Centrum!$A$3:$CB$130,AU$132,0))</f>
        <v/>
      </c>
      <c r="AV55" s="333" t="str">
        <f>IF(OR(OR($A55="",TYPE(VLOOKUP($A55,Centrum!$D$3:$M$130,10,0))&gt;3),$A$1&lt;4),"",VLOOKUP(VLOOKUP($A55,Centrum!$D$3:$M$130,10,0),Centrum!$A$3:$CB$130,AV$132,0))</f>
        <v/>
      </c>
      <c r="BC55" s="333" t="str">
        <f>IF(OR(OR($A55="",TYPE(VLOOKUP($A55,Centrum!$D$3:$M$130,10,0))&gt;3),$A$1&lt;5),"",VLOOKUP(VLOOKUP($A55,Centrum!$D$3:$M$130,10,0),Centrum!$A$3:$CB$130,BC$132,0))</f>
        <v/>
      </c>
      <c r="BD55" s="333" t="str">
        <f>IF(OR(OR($A55="",TYPE(VLOOKUP($A55,Centrum!$D$3:$M$130,10,0))&gt;3),$A$1&lt;5),"",VLOOKUP(VLOOKUP($A55,Centrum!$D$3:$M$130,10,0),Centrum!$A$3:$CB$130,BD$132,0))</f>
        <v/>
      </c>
      <c r="BE55" s="333" t="str">
        <f>IF(OR(OR($A55="",TYPE(VLOOKUP($A55,Centrum!$D$3:$M$130,10,0))&gt;3),$A$1&lt;5),"",VLOOKUP(VLOOKUP($A55,Centrum!$D$3:$M$130,10,0),Centrum!$A$3:$CB$130,BE$132,0))</f>
        <v/>
      </c>
      <c r="BL55" s="333" t="str">
        <f>IF(OR(OR($A55="",TYPE(VLOOKUP($A55,Centrum!$D$3:$M$130,10,0))&gt;3),$A$1&lt;6),"",VLOOKUP(VLOOKUP($A55,Centrum!$D$3:$M$130,10,0),Centrum!$A$3:$CB$130,BL$132,0))</f>
        <v/>
      </c>
      <c r="BM55" s="333" t="str">
        <f>IF(OR(OR($A55="",TYPE(VLOOKUP($A55,Centrum!$D$3:$M$130,10,0))&gt;3),$A$1&lt;6),"",VLOOKUP(VLOOKUP($A55,Centrum!$D$3:$M$130,10,0),Centrum!$A$3:$CB$130,BM$132,0))</f>
        <v/>
      </c>
      <c r="BN55" s="333" t="str">
        <f>IF(OR(OR($A55="",TYPE(VLOOKUP($A55,Centrum!$D$3:$M$130,10,0))&gt;3),$A$1&lt;6),"",VLOOKUP(VLOOKUP($A55,Centrum!$D$3:$M$130,10,0),Centrum!$A$3:$CB$130,BN$132,0))</f>
        <v/>
      </c>
    </row>
    <row r="56" spans="1:66" x14ac:dyDescent="0.25">
      <c r="A56" s="333" t="str">
        <f>Centrum!A56</f>
        <v/>
      </c>
      <c r="B56" s="439" t="str">
        <f>IF(OR($A56="",TYPE(VLOOKUP($A56,Centrum!$D$3:$M$130,10,0))&gt;3),"",VLOOKUP(VLOOKUP(A56,Centrum!$D$3:$M$130,10,0),Centrum!$A$3:$CB$130,B$132,0))</f>
        <v/>
      </c>
      <c r="C56" s="333" t="str">
        <f>IF(OR($A56="",TYPE(VLOOKUP($A56,Centrum!$D$3:$M$130,10,0))&gt;3),"",VLOOKUP($A56,Centrum!$D$3:$M$130,10,0))</f>
        <v/>
      </c>
      <c r="E56" s="333" t="str">
        <f>IF(OR($A56="",TYPE(VLOOKUP($A56,Centrum!$D$3:$M$130,10,0))&gt;3),"",VLOOKUP(VLOOKUP($A56,Centrum!$D$3:$M$130,10,0),Centrum!$A$3:$CB$130,E$132,0))</f>
        <v/>
      </c>
      <c r="F56" s="333" t="str">
        <f>IF(OR($A56="",TYPE(VLOOKUP($A56,Centrum!$D$3:$M$130,10,0))&gt;3),"",VLOOKUP(VLOOKUP($A56,Centrum!$D$3:$M$130,10,0),Centrum!$A$3:$CB$130,F$132,0))</f>
        <v/>
      </c>
      <c r="G56" s="333" t="str">
        <f>IF(OR($A56="",TYPE(VLOOKUP($A56,Centrum!$D$3:$M$130,10,0))&gt;3),"",VLOOKUP(VLOOKUP($A56,Centrum!$D$3:$M$130,10,0),Centrum!$A$3:$CB$130,G$132,0))</f>
        <v/>
      </c>
      <c r="H56" s="333" t="str">
        <f>IF($A56="","",VLOOKUP(VLOOKUP($A56,Centrum!$D$3:$M$130,10,0),Centrum!$A$3:$CB$130,H$132,0))</f>
        <v/>
      </c>
      <c r="I56" s="333" t="str">
        <f>IF($A56="","",VLOOKUP(VLOOKUP($A56,Centrum!$D$3:$M$130,10,0),Centrum!$A$3:$CB$130,I$132,0))</f>
        <v/>
      </c>
      <c r="J56" s="333" t="str">
        <f>IF(OR($A56="",TYPE(VLOOKUP($A56,Centrum!$D$3:$M$130,10,0))&gt;3),"",VLOOKUP(VLOOKUP($A56,Centrum!$D$3:$M$130,10,0),Centrum!$A$3:$CB$130,J$132,0))</f>
        <v/>
      </c>
      <c r="L56" s="333" t="str">
        <f>IF(OR($A56="",TYPE(VLOOKUP($A56,Centrum!$D$3:$M$130,10,0))&gt;3),"",VLOOKUP(VLOOKUP($A56,Centrum!$D$3:$M$130,10,0),Centrum!$A$3:$CB$130,L$132,0))</f>
        <v/>
      </c>
      <c r="M56" s="333" t="str">
        <f>IF(OR($A56="",TYPE(VLOOKUP($A56,Centrum!$D$3:$M$130,10,0))&gt;3),"",VLOOKUP(VLOOKUP($A56,Centrum!$D$3:$M$130,10,0),Centrum!$A$3:$CB$130,M$132,0))</f>
        <v/>
      </c>
      <c r="N56" s="333" t="str">
        <f>IF(OR($A56="",TYPE(VLOOKUP($A56,Centrum!$D$3:$M$130,10,0))&gt;3),"",VLOOKUP(VLOOKUP($A56,Centrum!$D$3:$M$130,10,0),Centrum!$A$3:$CB$130,N$132,0))</f>
        <v/>
      </c>
      <c r="O56" s="333" t="str">
        <f>IF(OR($A56="",TYPE(VLOOKUP($A56,Centrum!$D$3:$M$130,10,0))&gt;3),"",VLOOKUP(VLOOKUP($A56,Centrum!$D$3:$M$130,10,0),Centrum!$A$3:$CB$130,O$132,0))</f>
        <v/>
      </c>
      <c r="P56" s="333" t="str">
        <f>IF(OR($A56="",TYPE(VLOOKUP($A56,Centrum!$D$3:$M$130,10,0))&gt;3),"",VLOOKUP(VLOOKUP($A56,Centrum!$D$3:$M$130,10,0),Centrum!$A$3:$CB$130,P$132,0))</f>
        <v/>
      </c>
      <c r="Q56" s="333" t="str">
        <f>IF(OR($A56="",TYPE(VLOOKUP($A56,Centrum!$D$3:$M$130,10,0))&gt;3),"",VLOOKUP(VLOOKUP($A56,Centrum!$D$3:$M$130,10,0),Centrum!$A$3:$CB$130,Q$132,0))</f>
        <v/>
      </c>
      <c r="S56" s="333" t="str">
        <f>IF(OR($A56="",TYPE(VLOOKUP($A56,Centrum!$D$3:$M$130,10,0))&gt;3),"",VLOOKUP(VLOOKUP($A56,Centrum!$D$3:$M$130,10,0),Centrum!$A$3:$CB$130,S$132,0))</f>
        <v/>
      </c>
      <c r="T56" s="333" t="str">
        <f>IF(OR($A56="",TYPE(VLOOKUP($A56,Centrum!$D$3:$M$130,10,0))&gt;3),"",VLOOKUP(VLOOKUP($A56,Centrum!$D$3:$M$130,10,0),Centrum!$A$3:$CB$130,T$132,0))</f>
        <v/>
      </c>
      <c r="U56" s="333" t="str">
        <f>IF(OR($A56="",TYPE(VLOOKUP($A56,Centrum!$D$3:$M$130,10,0))&gt;3),"",VLOOKUP(VLOOKUP($A56,Centrum!$D$3:$M$130,10,0),Centrum!$A$3:$CB$130,U$132,0))</f>
        <v/>
      </c>
      <c r="AB56" s="333" t="str">
        <f>IF(OR($A56="",TYPE(VLOOKUP($A56,Centrum!$D$3:$M$130,10,0))&gt;3),"",VLOOKUP(VLOOKUP($A56,Centrum!$D$3:$M$130,10,0),Centrum!$A$3:$CB$130,AB$132,0))</f>
        <v/>
      </c>
      <c r="AC56" s="333" t="str">
        <f>IF(OR($A56="",TYPE(VLOOKUP($A56,Centrum!$D$3:$M$130,10,0))&gt;3),"",VLOOKUP(VLOOKUP($A56,Centrum!$D$3:$M$130,10,0),Centrum!$A$3:$CB$130,AC$132,0))</f>
        <v/>
      </c>
      <c r="AD56" s="333" t="str">
        <f>IF(OR($A56="",TYPE(VLOOKUP($A56,Centrum!$D$3:$M$130,10,0))&gt;3),"",VLOOKUP(VLOOKUP($A56,Centrum!$D$3:$M$130,10,0),Centrum!$A$3:$CB$130,AD$132,0))</f>
        <v/>
      </c>
      <c r="AK56" s="333" t="str">
        <f>IF(OR($A56="",TYPE(VLOOKUP($A56,Centrum!$D$3:$M$130,10,0))&gt;3),"",VLOOKUP(VLOOKUP($A56,Centrum!$D$3:$M$130,10,0),Centrum!$A$3:$CB$130,AK$132,0))</f>
        <v/>
      </c>
      <c r="AL56" s="333" t="str">
        <f>IF(OR($A56="",TYPE(VLOOKUP($A56,Centrum!$D$3:$M$130,10,0))&gt;3),"",VLOOKUP(VLOOKUP($A56,Centrum!$D$3:$M$130,10,0),Centrum!$A$3:$CB$130,AL$132,0))</f>
        <v/>
      </c>
      <c r="AM56" s="333" t="str">
        <f>IF(OR($A56="",TYPE(VLOOKUP($A56,Centrum!$D$3:$M$130,10,0))&gt;3),"",VLOOKUP(VLOOKUP($A56,Centrum!$D$3:$M$130,10,0),Centrum!$A$3:$CB$130,AM$132,0))</f>
        <v/>
      </c>
      <c r="AT56" s="333" t="str">
        <f>IF(OR(OR($A56="",TYPE(VLOOKUP($A56,Centrum!$D$3:$M$130,10,0))&gt;3),$A$1&lt;4),"",VLOOKUP(VLOOKUP($A56,Centrum!$D$3:$M$130,10,0),Centrum!$A$3:$CB$130,AT$132,0))</f>
        <v/>
      </c>
      <c r="AU56" s="333" t="str">
        <f>IF(OR(OR($A56="",TYPE(VLOOKUP($A56,Centrum!$D$3:$M$130,10,0))&gt;3),$A$1&lt;4),"",VLOOKUP(VLOOKUP($A56,Centrum!$D$3:$M$130,10,0),Centrum!$A$3:$CB$130,AU$132,0))</f>
        <v/>
      </c>
      <c r="AV56" s="333" t="str">
        <f>IF(OR(OR($A56="",TYPE(VLOOKUP($A56,Centrum!$D$3:$M$130,10,0))&gt;3),$A$1&lt;4),"",VLOOKUP(VLOOKUP($A56,Centrum!$D$3:$M$130,10,0),Centrum!$A$3:$CB$130,AV$132,0))</f>
        <v/>
      </c>
      <c r="BC56" s="333" t="str">
        <f>IF(OR(OR($A56="",TYPE(VLOOKUP($A56,Centrum!$D$3:$M$130,10,0))&gt;3),$A$1&lt;5),"",VLOOKUP(VLOOKUP($A56,Centrum!$D$3:$M$130,10,0),Centrum!$A$3:$CB$130,BC$132,0))</f>
        <v/>
      </c>
      <c r="BD56" s="333" t="str">
        <f>IF(OR(OR($A56="",TYPE(VLOOKUP($A56,Centrum!$D$3:$M$130,10,0))&gt;3),$A$1&lt;5),"",VLOOKUP(VLOOKUP($A56,Centrum!$D$3:$M$130,10,0),Centrum!$A$3:$CB$130,BD$132,0))</f>
        <v/>
      </c>
      <c r="BE56" s="333" t="str">
        <f>IF(OR(OR($A56="",TYPE(VLOOKUP($A56,Centrum!$D$3:$M$130,10,0))&gt;3),$A$1&lt;5),"",VLOOKUP(VLOOKUP($A56,Centrum!$D$3:$M$130,10,0),Centrum!$A$3:$CB$130,BE$132,0))</f>
        <v/>
      </c>
      <c r="BL56" s="333" t="str">
        <f>IF(OR(OR($A56="",TYPE(VLOOKUP($A56,Centrum!$D$3:$M$130,10,0))&gt;3),$A$1&lt;6),"",VLOOKUP(VLOOKUP($A56,Centrum!$D$3:$M$130,10,0),Centrum!$A$3:$CB$130,BL$132,0))</f>
        <v/>
      </c>
      <c r="BM56" s="333" t="str">
        <f>IF(OR(OR($A56="",TYPE(VLOOKUP($A56,Centrum!$D$3:$M$130,10,0))&gt;3),$A$1&lt;6),"",VLOOKUP(VLOOKUP($A56,Centrum!$D$3:$M$130,10,0),Centrum!$A$3:$CB$130,BM$132,0))</f>
        <v/>
      </c>
      <c r="BN56" s="333" t="str">
        <f>IF(OR(OR($A56="",TYPE(VLOOKUP($A56,Centrum!$D$3:$M$130,10,0))&gt;3),$A$1&lt;6),"",VLOOKUP(VLOOKUP($A56,Centrum!$D$3:$M$130,10,0),Centrum!$A$3:$CB$130,BN$132,0))</f>
        <v/>
      </c>
    </row>
    <row r="57" spans="1:66" x14ac:dyDescent="0.25">
      <c r="A57" s="333" t="str">
        <f>Centrum!A57</f>
        <v/>
      </c>
      <c r="B57" s="439" t="str">
        <f>IF(OR($A57="",TYPE(VLOOKUP($A57,Centrum!$D$3:$M$130,10,0))&gt;3),"",VLOOKUP(VLOOKUP(A57,Centrum!$D$3:$M$130,10,0),Centrum!$A$3:$CB$130,B$132,0))</f>
        <v/>
      </c>
      <c r="C57" s="333" t="str">
        <f>IF(OR($A57="",TYPE(VLOOKUP($A57,Centrum!$D$3:$M$130,10,0))&gt;3),"",VLOOKUP($A57,Centrum!$D$3:$M$130,10,0))</f>
        <v/>
      </c>
      <c r="E57" s="333" t="str">
        <f>IF(OR($A57="",TYPE(VLOOKUP($A57,Centrum!$D$3:$M$130,10,0))&gt;3),"",VLOOKUP(VLOOKUP($A57,Centrum!$D$3:$M$130,10,0),Centrum!$A$3:$CB$130,E$132,0))</f>
        <v/>
      </c>
      <c r="F57" s="333" t="str">
        <f>IF(OR($A57="",TYPE(VLOOKUP($A57,Centrum!$D$3:$M$130,10,0))&gt;3),"",VLOOKUP(VLOOKUP($A57,Centrum!$D$3:$M$130,10,0),Centrum!$A$3:$CB$130,F$132,0))</f>
        <v/>
      </c>
      <c r="G57" s="333" t="str">
        <f>IF(OR($A57="",TYPE(VLOOKUP($A57,Centrum!$D$3:$M$130,10,0))&gt;3),"",VLOOKUP(VLOOKUP($A57,Centrum!$D$3:$M$130,10,0),Centrum!$A$3:$CB$130,G$132,0))</f>
        <v/>
      </c>
      <c r="H57" s="333" t="str">
        <f>IF($A57="","",VLOOKUP(VLOOKUP($A57,Centrum!$D$3:$M$130,10,0),Centrum!$A$3:$CB$130,H$132,0))</f>
        <v/>
      </c>
      <c r="I57" s="333" t="str">
        <f>IF($A57="","",VLOOKUP(VLOOKUP($A57,Centrum!$D$3:$M$130,10,0),Centrum!$A$3:$CB$130,I$132,0))</f>
        <v/>
      </c>
      <c r="J57" s="333" t="str">
        <f>IF(OR($A57="",TYPE(VLOOKUP($A57,Centrum!$D$3:$M$130,10,0))&gt;3),"",VLOOKUP(VLOOKUP($A57,Centrum!$D$3:$M$130,10,0),Centrum!$A$3:$CB$130,J$132,0))</f>
        <v/>
      </c>
      <c r="L57" s="333" t="str">
        <f>IF(OR($A57="",TYPE(VLOOKUP($A57,Centrum!$D$3:$M$130,10,0))&gt;3),"",VLOOKUP(VLOOKUP($A57,Centrum!$D$3:$M$130,10,0),Centrum!$A$3:$CB$130,L$132,0))</f>
        <v/>
      </c>
      <c r="M57" s="333" t="str">
        <f>IF(OR($A57="",TYPE(VLOOKUP($A57,Centrum!$D$3:$M$130,10,0))&gt;3),"",VLOOKUP(VLOOKUP($A57,Centrum!$D$3:$M$130,10,0),Centrum!$A$3:$CB$130,M$132,0))</f>
        <v/>
      </c>
      <c r="N57" s="333" t="str">
        <f>IF(OR($A57="",TYPE(VLOOKUP($A57,Centrum!$D$3:$M$130,10,0))&gt;3),"",VLOOKUP(VLOOKUP($A57,Centrum!$D$3:$M$130,10,0),Centrum!$A$3:$CB$130,N$132,0))</f>
        <v/>
      </c>
      <c r="O57" s="333" t="str">
        <f>IF(OR($A57="",TYPE(VLOOKUP($A57,Centrum!$D$3:$M$130,10,0))&gt;3),"",VLOOKUP(VLOOKUP($A57,Centrum!$D$3:$M$130,10,0),Centrum!$A$3:$CB$130,O$132,0))</f>
        <v/>
      </c>
      <c r="P57" s="333" t="str">
        <f>IF(OR($A57="",TYPE(VLOOKUP($A57,Centrum!$D$3:$M$130,10,0))&gt;3),"",VLOOKUP(VLOOKUP($A57,Centrum!$D$3:$M$130,10,0),Centrum!$A$3:$CB$130,P$132,0))</f>
        <v/>
      </c>
      <c r="Q57" s="333" t="str">
        <f>IF(OR($A57="",TYPE(VLOOKUP($A57,Centrum!$D$3:$M$130,10,0))&gt;3),"",VLOOKUP(VLOOKUP($A57,Centrum!$D$3:$M$130,10,0),Centrum!$A$3:$CB$130,Q$132,0))</f>
        <v/>
      </c>
      <c r="S57" s="333" t="str">
        <f>IF(OR($A57="",TYPE(VLOOKUP($A57,Centrum!$D$3:$M$130,10,0))&gt;3),"",VLOOKUP(VLOOKUP($A57,Centrum!$D$3:$M$130,10,0),Centrum!$A$3:$CB$130,S$132,0))</f>
        <v/>
      </c>
      <c r="T57" s="333" t="str">
        <f>IF(OR($A57="",TYPE(VLOOKUP($A57,Centrum!$D$3:$M$130,10,0))&gt;3),"",VLOOKUP(VLOOKUP($A57,Centrum!$D$3:$M$130,10,0),Centrum!$A$3:$CB$130,T$132,0))</f>
        <v/>
      </c>
      <c r="U57" s="333" t="str">
        <f>IF(OR($A57="",TYPE(VLOOKUP($A57,Centrum!$D$3:$M$130,10,0))&gt;3),"",VLOOKUP(VLOOKUP($A57,Centrum!$D$3:$M$130,10,0),Centrum!$A$3:$CB$130,U$132,0))</f>
        <v/>
      </c>
      <c r="AB57" s="333" t="str">
        <f>IF(OR($A57="",TYPE(VLOOKUP($A57,Centrum!$D$3:$M$130,10,0))&gt;3),"",VLOOKUP(VLOOKUP($A57,Centrum!$D$3:$M$130,10,0),Centrum!$A$3:$CB$130,AB$132,0))</f>
        <v/>
      </c>
      <c r="AC57" s="333" t="str">
        <f>IF(OR($A57="",TYPE(VLOOKUP($A57,Centrum!$D$3:$M$130,10,0))&gt;3),"",VLOOKUP(VLOOKUP($A57,Centrum!$D$3:$M$130,10,0),Centrum!$A$3:$CB$130,AC$132,0))</f>
        <v/>
      </c>
      <c r="AD57" s="333" t="str">
        <f>IF(OR($A57="",TYPE(VLOOKUP($A57,Centrum!$D$3:$M$130,10,0))&gt;3),"",VLOOKUP(VLOOKUP($A57,Centrum!$D$3:$M$130,10,0),Centrum!$A$3:$CB$130,AD$132,0))</f>
        <v/>
      </c>
      <c r="AK57" s="333" t="str">
        <f>IF(OR($A57="",TYPE(VLOOKUP($A57,Centrum!$D$3:$M$130,10,0))&gt;3),"",VLOOKUP(VLOOKUP($A57,Centrum!$D$3:$M$130,10,0),Centrum!$A$3:$CB$130,AK$132,0))</f>
        <v/>
      </c>
      <c r="AL57" s="333" t="str">
        <f>IF(OR($A57="",TYPE(VLOOKUP($A57,Centrum!$D$3:$M$130,10,0))&gt;3),"",VLOOKUP(VLOOKUP($A57,Centrum!$D$3:$M$130,10,0),Centrum!$A$3:$CB$130,AL$132,0))</f>
        <v/>
      </c>
      <c r="AM57" s="333" t="str">
        <f>IF(OR($A57="",TYPE(VLOOKUP($A57,Centrum!$D$3:$M$130,10,0))&gt;3),"",VLOOKUP(VLOOKUP($A57,Centrum!$D$3:$M$130,10,0),Centrum!$A$3:$CB$130,AM$132,0))</f>
        <v/>
      </c>
      <c r="AT57" s="333" t="str">
        <f>IF(OR(OR($A57="",TYPE(VLOOKUP($A57,Centrum!$D$3:$M$130,10,0))&gt;3),$A$1&lt;4),"",VLOOKUP(VLOOKUP($A57,Centrum!$D$3:$M$130,10,0),Centrum!$A$3:$CB$130,AT$132,0))</f>
        <v/>
      </c>
      <c r="AU57" s="333" t="str">
        <f>IF(OR(OR($A57="",TYPE(VLOOKUP($A57,Centrum!$D$3:$M$130,10,0))&gt;3),$A$1&lt;4),"",VLOOKUP(VLOOKUP($A57,Centrum!$D$3:$M$130,10,0),Centrum!$A$3:$CB$130,AU$132,0))</f>
        <v/>
      </c>
      <c r="AV57" s="333" t="str">
        <f>IF(OR(OR($A57="",TYPE(VLOOKUP($A57,Centrum!$D$3:$M$130,10,0))&gt;3),$A$1&lt;4),"",VLOOKUP(VLOOKUP($A57,Centrum!$D$3:$M$130,10,0),Centrum!$A$3:$CB$130,AV$132,0))</f>
        <v/>
      </c>
      <c r="BC57" s="333" t="str">
        <f>IF(OR(OR($A57="",TYPE(VLOOKUP($A57,Centrum!$D$3:$M$130,10,0))&gt;3),$A$1&lt;5),"",VLOOKUP(VLOOKUP($A57,Centrum!$D$3:$M$130,10,0),Centrum!$A$3:$CB$130,BC$132,0))</f>
        <v/>
      </c>
      <c r="BD57" s="333" t="str">
        <f>IF(OR(OR($A57="",TYPE(VLOOKUP($A57,Centrum!$D$3:$M$130,10,0))&gt;3),$A$1&lt;5),"",VLOOKUP(VLOOKUP($A57,Centrum!$D$3:$M$130,10,0),Centrum!$A$3:$CB$130,BD$132,0))</f>
        <v/>
      </c>
      <c r="BE57" s="333" t="str">
        <f>IF(OR(OR($A57="",TYPE(VLOOKUP($A57,Centrum!$D$3:$M$130,10,0))&gt;3),$A$1&lt;5),"",VLOOKUP(VLOOKUP($A57,Centrum!$D$3:$M$130,10,0),Centrum!$A$3:$CB$130,BE$132,0))</f>
        <v/>
      </c>
      <c r="BL57" s="333" t="str">
        <f>IF(OR(OR($A57="",TYPE(VLOOKUP($A57,Centrum!$D$3:$M$130,10,0))&gt;3),$A$1&lt;6),"",VLOOKUP(VLOOKUP($A57,Centrum!$D$3:$M$130,10,0),Centrum!$A$3:$CB$130,BL$132,0))</f>
        <v/>
      </c>
      <c r="BM57" s="333" t="str">
        <f>IF(OR(OR($A57="",TYPE(VLOOKUP($A57,Centrum!$D$3:$M$130,10,0))&gt;3),$A$1&lt;6),"",VLOOKUP(VLOOKUP($A57,Centrum!$D$3:$M$130,10,0),Centrum!$A$3:$CB$130,BM$132,0))</f>
        <v/>
      </c>
      <c r="BN57" s="333" t="str">
        <f>IF(OR(OR($A57="",TYPE(VLOOKUP($A57,Centrum!$D$3:$M$130,10,0))&gt;3),$A$1&lt;6),"",VLOOKUP(VLOOKUP($A57,Centrum!$D$3:$M$130,10,0),Centrum!$A$3:$CB$130,BN$132,0))</f>
        <v/>
      </c>
    </row>
    <row r="58" spans="1:66" x14ac:dyDescent="0.25">
      <c r="A58" s="333" t="str">
        <f>Centrum!A58</f>
        <v/>
      </c>
      <c r="B58" s="439" t="str">
        <f>IF(OR($A58="",TYPE(VLOOKUP($A58,Centrum!$D$3:$M$130,10,0))&gt;3),"",VLOOKUP(VLOOKUP(A58,Centrum!$D$3:$M$130,10,0),Centrum!$A$3:$CB$130,B$132,0))</f>
        <v/>
      </c>
      <c r="C58" s="333" t="str">
        <f>IF(OR($A58="",TYPE(VLOOKUP($A58,Centrum!$D$3:$M$130,10,0))&gt;3),"",VLOOKUP($A58,Centrum!$D$3:$M$130,10,0))</f>
        <v/>
      </c>
      <c r="E58" s="333" t="str">
        <f>IF(OR($A58="",TYPE(VLOOKUP($A58,Centrum!$D$3:$M$130,10,0))&gt;3),"",VLOOKUP(VLOOKUP($A58,Centrum!$D$3:$M$130,10,0),Centrum!$A$3:$CB$130,E$132,0))</f>
        <v/>
      </c>
      <c r="F58" s="333" t="str">
        <f>IF(OR($A58="",TYPE(VLOOKUP($A58,Centrum!$D$3:$M$130,10,0))&gt;3),"",VLOOKUP(VLOOKUP($A58,Centrum!$D$3:$M$130,10,0),Centrum!$A$3:$CB$130,F$132,0))</f>
        <v/>
      </c>
      <c r="G58" s="333" t="str">
        <f>IF(OR($A58="",TYPE(VLOOKUP($A58,Centrum!$D$3:$M$130,10,0))&gt;3),"",VLOOKUP(VLOOKUP($A58,Centrum!$D$3:$M$130,10,0),Centrum!$A$3:$CB$130,G$132,0))</f>
        <v/>
      </c>
      <c r="H58" s="333" t="str">
        <f>IF($A58="","",VLOOKUP(VLOOKUP($A58,Centrum!$D$3:$M$130,10,0),Centrum!$A$3:$CB$130,H$132,0))</f>
        <v/>
      </c>
      <c r="I58" s="333" t="str">
        <f>IF($A58="","",VLOOKUP(VLOOKUP($A58,Centrum!$D$3:$M$130,10,0),Centrum!$A$3:$CB$130,I$132,0))</f>
        <v/>
      </c>
      <c r="J58" s="333" t="str">
        <f>IF(OR($A58="",TYPE(VLOOKUP($A58,Centrum!$D$3:$M$130,10,0))&gt;3),"",VLOOKUP(VLOOKUP($A58,Centrum!$D$3:$M$130,10,0),Centrum!$A$3:$CB$130,J$132,0))</f>
        <v/>
      </c>
      <c r="L58" s="333" t="str">
        <f>IF(OR($A58="",TYPE(VLOOKUP($A58,Centrum!$D$3:$M$130,10,0))&gt;3),"",VLOOKUP(VLOOKUP($A58,Centrum!$D$3:$M$130,10,0),Centrum!$A$3:$CB$130,L$132,0))</f>
        <v/>
      </c>
      <c r="M58" s="333" t="str">
        <f>IF(OR($A58="",TYPE(VLOOKUP($A58,Centrum!$D$3:$M$130,10,0))&gt;3),"",VLOOKUP(VLOOKUP($A58,Centrum!$D$3:$M$130,10,0),Centrum!$A$3:$CB$130,M$132,0))</f>
        <v/>
      </c>
      <c r="N58" s="333" t="str">
        <f>IF(OR($A58="",TYPE(VLOOKUP($A58,Centrum!$D$3:$M$130,10,0))&gt;3),"",VLOOKUP(VLOOKUP($A58,Centrum!$D$3:$M$130,10,0),Centrum!$A$3:$CB$130,N$132,0))</f>
        <v/>
      </c>
      <c r="O58" s="333" t="str">
        <f>IF(OR($A58="",TYPE(VLOOKUP($A58,Centrum!$D$3:$M$130,10,0))&gt;3),"",VLOOKUP(VLOOKUP($A58,Centrum!$D$3:$M$130,10,0),Centrum!$A$3:$CB$130,O$132,0))</f>
        <v/>
      </c>
      <c r="P58" s="333" t="str">
        <f>IF(OR($A58="",TYPE(VLOOKUP($A58,Centrum!$D$3:$M$130,10,0))&gt;3),"",VLOOKUP(VLOOKUP($A58,Centrum!$D$3:$M$130,10,0),Centrum!$A$3:$CB$130,P$132,0))</f>
        <v/>
      </c>
      <c r="Q58" s="333" t="str">
        <f>IF(OR($A58="",TYPE(VLOOKUP($A58,Centrum!$D$3:$M$130,10,0))&gt;3),"",VLOOKUP(VLOOKUP($A58,Centrum!$D$3:$M$130,10,0),Centrum!$A$3:$CB$130,Q$132,0))</f>
        <v/>
      </c>
      <c r="S58" s="333" t="str">
        <f>IF(OR($A58="",TYPE(VLOOKUP($A58,Centrum!$D$3:$M$130,10,0))&gt;3),"",VLOOKUP(VLOOKUP($A58,Centrum!$D$3:$M$130,10,0),Centrum!$A$3:$CB$130,S$132,0))</f>
        <v/>
      </c>
      <c r="T58" s="333" t="str">
        <f>IF(OR($A58="",TYPE(VLOOKUP($A58,Centrum!$D$3:$M$130,10,0))&gt;3),"",VLOOKUP(VLOOKUP($A58,Centrum!$D$3:$M$130,10,0),Centrum!$A$3:$CB$130,T$132,0))</f>
        <v/>
      </c>
      <c r="U58" s="333" t="str">
        <f>IF(OR($A58="",TYPE(VLOOKUP($A58,Centrum!$D$3:$M$130,10,0))&gt;3),"",VLOOKUP(VLOOKUP($A58,Centrum!$D$3:$M$130,10,0),Centrum!$A$3:$CB$130,U$132,0))</f>
        <v/>
      </c>
      <c r="AB58" s="333" t="str">
        <f>IF(OR($A58="",TYPE(VLOOKUP($A58,Centrum!$D$3:$M$130,10,0))&gt;3),"",VLOOKUP(VLOOKUP($A58,Centrum!$D$3:$M$130,10,0),Centrum!$A$3:$CB$130,AB$132,0))</f>
        <v/>
      </c>
      <c r="AC58" s="333" t="str">
        <f>IF(OR($A58="",TYPE(VLOOKUP($A58,Centrum!$D$3:$M$130,10,0))&gt;3),"",VLOOKUP(VLOOKUP($A58,Centrum!$D$3:$M$130,10,0),Centrum!$A$3:$CB$130,AC$132,0))</f>
        <v/>
      </c>
      <c r="AD58" s="333" t="str">
        <f>IF(OR($A58="",TYPE(VLOOKUP($A58,Centrum!$D$3:$M$130,10,0))&gt;3),"",VLOOKUP(VLOOKUP($A58,Centrum!$D$3:$M$130,10,0),Centrum!$A$3:$CB$130,AD$132,0))</f>
        <v/>
      </c>
      <c r="AK58" s="333" t="str">
        <f>IF(OR($A58="",TYPE(VLOOKUP($A58,Centrum!$D$3:$M$130,10,0))&gt;3),"",VLOOKUP(VLOOKUP($A58,Centrum!$D$3:$M$130,10,0),Centrum!$A$3:$CB$130,AK$132,0))</f>
        <v/>
      </c>
      <c r="AL58" s="333" t="str">
        <f>IF(OR($A58="",TYPE(VLOOKUP($A58,Centrum!$D$3:$M$130,10,0))&gt;3),"",VLOOKUP(VLOOKUP($A58,Centrum!$D$3:$M$130,10,0),Centrum!$A$3:$CB$130,AL$132,0))</f>
        <v/>
      </c>
      <c r="AM58" s="333" t="str">
        <f>IF(OR($A58="",TYPE(VLOOKUP($A58,Centrum!$D$3:$M$130,10,0))&gt;3),"",VLOOKUP(VLOOKUP($A58,Centrum!$D$3:$M$130,10,0),Centrum!$A$3:$CB$130,AM$132,0))</f>
        <v/>
      </c>
      <c r="AT58" s="333" t="str">
        <f>IF(OR(OR($A58="",TYPE(VLOOKUP($A58,Centrum!$D$3:$M$130,10,0))&gt;3),$A$1&lt;4),"",VLOOKUP(VLOOKUP($A58,Centrum!$D$3:$M$130,10,0),Centrum!$A$3:$CB$130,AT$132,0))</f>
        <v/>
      </c>
      <c r="AU58" s="333" t="str">
        <f>IF(OR(OR($A58="",TYPE(VLOOKUP($A58,Centrum!$D$3:$M$130,10,0))&gt;3),$A$1&lt;4),"",VLOOKUP(VLOOKUP($A58,Centrum!$D$3:$M$130,10,0),Centrum!$A$3:$CB$130,AU$132,0))</f>
        <v/>
      </c>
      <c r="AV58" s="333" t="str">
        <f>IF(OR(OR($A58="",TYPE(VLOOKUP($A58,Centrum!$D$3:$M$130,10,0))&gt;3),$A$1&lt;4),"",VLOOKUP(VLOOKUP($A58,Centrum!$D$3:$M$130,10,0),Centrum!$A$3:$CB$130,AV$132,0))</f>
        <v/>
      </c>
      <c r="BC58" s="333" t="str">
        <f>IF(OR(OR($A58="",TYPE(VLOOKUP($A58,Centrum!$D$3:$M$130,10,0))&gt;3),$A$1&lt;5),"",VLOOKUP(VLOOKUP($A58,Centrum!$D$3:$M$130,10,0),Centrum!$A$3:$CB$130,BC$132,0))</f>
        <v/>
      </c>
      <c r="BD58" s="333" t="str">
        <f>IF(OR(OR($A58="",TYPE(VLOOKUP($A58,Centrum!$D$3:$M$130,10,0))&gt;3),$A$1&lt;5),"",VLOOKUP(VLOOKUP($A58,Centrum!$D$3:$M$130,10,0),Centrum!$A$3:$CB$130,BD$132,0))</f>
        <v/>
      </c>
      <c r="BE58" s="333" t="str">
        <f>IF(OR(OR($A58="",TYPE(VLOOKUP($A58,Centrum!$D$3:$M$130,10,0))&gt;3),$A$1&lt;5),"",VLOOKUP(VLOOKUP($A58,Centrum!$D$3:$M$130,10,0),Centrum!$A$3:$CB$130,BE$132,0))</f>
        <v/>
      </c>
      <c r="BL58" s="333" t="str">
        <f>IF(OR(OR($A58="",TYPE(VLOOKUP($A58,Centrum!$D$3:$M$130,10,0))&gt;3),$A$1&lt;6),"",VLOOKUP(VLOOKUP($A58,Centrum!$D$3:$M$130,10,0),Centrum!$A$3:$CB$130,BL$132,0))</f>
        <v/>
      </c>
      <c r="BM58" s="333" t="str">
        <f>IF(OR(OR($A58="",TYPE(VLOOKUP($A58,Centrum!$D$3:$M$130,10,0))&gt;3),$A$1&lt;6),"",VLOOKUP(VLOOKUP($A58,Centrum!$D$3:$M$130,10,0),Centrum!$A$3:$CB$130,BM$132,0))</f>
        <v/>
      </c>
      <c r="BN58" s="333" t="str">
        <f>IF(OR(OR($A58="",TYPE(VLOOKUP($A58,Centrum!$D$3:$M$130,10,0))&gt;3),$A$1&lt;6),"",VLOOKUP(VLOOKUP($A58,Centrum!$D$3:$M$130,10,0),Centrum!$A$3:$CB$130,BN$132,0))</f>
        <v/>
      </c>
    </row>
    <row r="59" spans="1:66" x14ac:dyDescent="0.25">
      <c r="A59" s="333" t="str">
        <f>Centrum!A59</f>
        <v/>
      </c>
      <c r="B59" s="439" t="str">
        <f>IF(OR($A59="",TYPE(VLOOKUP($A59,Centrum!$D$3:$M$130,10,0))&gt;3),"",VLOOKUP(VLOOKUP(A59,Centrum!$D$3:$M$130,10,0),Centrum!$A$3:$CB$130,B$132,0))</f>
        <v/>
      </c>
      <c r="C59" s="333" t="str">
        <f>IF(OR($A59="",TYPE(VLOOKUP($A59,Centrum!$D$3:$M$130,10,0))&gt;3),"",VLOOKUP($A59,Centrum!$D$3:$M$130,10,0))</f>
        <v/>
      </c>
      <c r="E59" s="333" t="str">
        <f>IF(OR($A59="",TYPE(VLOOKUP($A59,Centrum!$D$3:$M$130,10,0))&gt;3),"",VLOOKUP(VLOOKUP($A59,Centrum!$D$3:$M$130,10,0),Centrum!$A$3:$CB$130,E$132,0))</f>
        <v/>
      </c>
      <c r="F59" s="333" t="str">
        <f>IF(OR($A59="",TYPE(VLOOKUP($A59,Centrum!$D$3:$M$130,10,0))&gt;3),"",VLOOKUP(VLOOKUP($A59,Centrum!$D$3:$M$130,10,0),Centrum!$A$3:$CB$130,F$132,0))</f>
        <v/>
      </c>
      <c r="G59" s="333" t="str">
        <f>IF(OR($A59="",TYPE(VLOOKUP($A59,Centrum!$D$3:$M$130,10,0))&gt;3),"",VLOOKUP(VLOOKUP($A59,Centrum!$D$3:$M$130,10,0),Centrum!$A$3:$CB$130,G$132,0))</f>
        <v/>
      </c>
      <c r="H59" s="333" t="str">
        <f>IF($A59="","",VLOOKUP(VLOOKUP($A59,Centrum!$D$3:$M$130,10,0),Centrum!$A$3:$CB$130,H$132,0))</f>
        <v/>
      </c>
      <c r="I59" s="333" t="str">
        <f>IF($A59="","",VLOOKUP(VLOOKUP($A59,Centrum!$D$3:$M$130,10,0),Centrum!$A$3:$CB$130,I$132,0))</f>
        <v/>
      </c>
      <c r="J59" s="333" t="str">
        <f>IF(OR($A59="",TYPE(VLOOKUP($A59,Centrum!$D$3:$M$130,10,0))&gt;3),"",VLOOKUP(VLOOKUP($A59,Centrum!$D$3:$M$130,10,0),Centrum!$A$3:$CB$130,J$132,0))</f>
        <v/>
      </c>
      <c r="L59" s="333" t="str">
        <f>IF(OR($A59="",TYPE(VLOOKUP($A59,Centrum!$D$3:$M$130,10,0))&gt;3),"",VLOOKUP(VLOOKUP($A59,Centrum!$D$3:$M$130,10,0),Centrum!$A$3:$CB$130,L$132,0))</f>
        <v/>
      </c>
      <c r="M59" s="333" t="str">
        <f>IF(OR($A59="",TYPE(VLOOKUP($A59,Centrum!$D$3:$M$130,10,0))&gt;3),"",VLOOKUP(VLOOKUP($A59,Centrum!$D$3:$M$130,10,0),Centrum!$A$3:$CB$130,M$132,0))</f>
        <v/>
      </c>
      <c r="N59" s="333" t="str">
        <f>IF(OR($A59="",TYPE(VLOOKUP($A59,Centrum!$D$3:$M$130,10,0))&gt;3),"",VLOOKUP(VLOOKUP($A59,Centrum!$D$3:$M$130,10,0),Centrum!$A$3:$CB$130,N$132,0))</f>
        <v/>
      </c>
      <c r="O59" s="333" t="str">
        <f>IF(OR($A59="",TYPE(VLOOKUP($A59,Centrum!$D$3:$M$130,10,0))&gt;3),"",VLOOKUP(VLOOKUP($A59,Centrum!$D$3:$M$130,10,0),Centrum!$A$3:$CB$130,O$132,0))</f>
        <v/>
      </c>
      <c r="P59" s="333" t="str">
        <f>IF(OR($A59="",TYPE(VLOOKUP($A59,Centrum!$D$3:$M$130,10,0))&gt;3),"",VLOOKUP(VLOOKUP($A59,Centrum!$D$3:$M$130,10,0),Centrum!$A$3:$CB$130,P$132,0))</f>
        <v/>
      </c>
      <c r="Q59" s="333" t="str">
        <f>IF(OR($A59="",TYPE(VLOOKUP($A59,Centrum!$D$3:$M$130,10,0))&gt;3),"",VLOOKUP(VLOOKUP($A59,Centrum!$D$3:$M$130,10,0),Centrum!$A$3:$CB$130,Q$132,0))</f>
        <v/>
      </c>
      <c r="S59" s="333" t="str">
        <f>IF(OR($A59="",TYPE(VLOOKUP($A59,Centrum!$D$3:$M$130,10,0))&gt;3),"",VLOOKUP(VLOOKUP($A59,Centrum!$D$3:$M$130,10,0),Centrum!$A$3:$CB$130,S$132,0))</f>
        <v/>
      </c>
      <c r="T59" s="333" t="str">
        <f>IF(OR($A59="",TYPE(VLOOKUP($A59,Centrum!$D$3:$M$130,10,0))&gt;3),"",VLOOKUP(VLOOKUP($A59,Centrum!$D$3:$M$130,10,0),Centrum!$A$3:$CB$130,T$132,0))</f>
        <v/>
      </c>
      <c r="U59" s="333" t="str">
        <f>IF(OR($A59="",TYPE(VLOOKUP($A59,Centrum!$D$3:$M$130,10,0))&gt;3),"",VLOOKUP(VLOOKUP($A59,Centrum!$D$3:$M$130,10,0),Centrum!$A$3:$CB$130,U$132,0))</f>
        <v/>
      </c>
      <c r="AB59" s="333" t="str">
        <f>IF(OR($A59="",TYPE(VLOOKUP($A59,Centrum!$D$3:$M$130,10,0))&gt;3),"",VLOOKUP(VLOOKUP($A59,Centrum!$D$3:$M$130,10,0),Centrum!$A$3:$CB$130,AB$132,0))</f>
        <v/>
      </c>
      <c r="AC59" s="333" t="str">
        <f>IF(OR($A59="",TYPE(VLOOKUP($A59,Centrum!$D$3:$M$130,10,0))&gt;3),"",VLOOKUP(VLOOKUP($A59,Centrum!$D$3:$M$130,10,0),Centrum!$A$3:$CB$130,AC$132,0))</f>
        <v/>
      </c>
      <c r="AD59" s="333" t="str">
        <f>IF(OR($A59="",TYPE(VLOOKUP($A59,Centrum!$D$3:$M$130,10,0))&gt;3),"",VLOOKUP(VLOOKUP($A59,Centrum!$D$3:$M$130,10,0),Centrum!$A$3:$CB$130,AD$132,0))</f>
        <v/>
      </c>
      <c r="AK59" s="333" t="str">
        <f>IF(OR($A59="",TYPE(VLOOKUP($A59,Centrum!$D$3:$M$130,10,0))&gt;3),"",VLOOKUP(VLOOKUP($A59,Centrum!$D$3:$M$130,10,0),Centrum!$A$3:$CB$130,AK$132,0))</f>
        <v/>
      </c>
      <c r="AL59" s="333" t="str">
        <f>IF(OR($A59="",TYPE(VLOOKUP($A59,Centrum!$D$3:$M$130,10,0))&gt;3),"",VLOOKUP(VLOOKUP($A59,Centrum!$D$3:$M$130,10,0),Centrum!$A$3:$CB$130,AL$132,0))</f>
        <v/>
      </c>
      <c r="AM59" s="333" t="str">
        <f>IF(OR($A59="",TYPE(VLOOKUP($A59,Centrum!$D$3:$M$130,10,0))&gt;3),"",VLOOKUP(VLOOKUP($A59,Centrum!$D$3:$M$130,10,0),Centrum!$A$3:$CB$130,AM$132,0))</f>
        <v/>
      </c>
      <c r="AT59" s="333" t="str">
        <f>IF(OR(OR($A59="",TYPE(VLOOKUP($A59,Centrum!$D$3:$M$130,10,0))&gt;3),$A$1&lt;4),"",VLOOKUP(VLOOKUP($A59,Centrum!$D$3:$M$130,10,0),Centrum!$A$3:$CB$130,AT$132,0))</f>
        <v/>
      </c>
      <c r="AU59" s="333" t="str">
        <f>IF(OR(OR($A59="",TYPE(VLOOKUP($A59,Centrum!$D$3:$M$130,10,0))&gt;3),$A$1&lt;4),"",VLOOKUP(VLOOKUP($A59,Centrum!$D$3:$M$130,10,0),Centrum!$A$3:$CB$130,AU$132,0))</f>
        <v/>
      </c>
      <c r="AV59" s="333" t="str">
        <f>IF(OR(OR($A59="",TYPE(VLOOKUP($A59,Centrum!$D$3:$M$130,10,0))&gt;3),$A$1&lt;4),"",VLOOKUP(VLOOKUP($A59,Centrum!$D$3:$M$130,10,0),Centrum!$A$3:$CB$130,AV$132,0))</f>
        <v/>
      </c>
      <c r="BC59" s="333" t="str">
        <f>IF(OR(OR($A59="",TYPE(VLOOKUP($A59,Centrum!$D$3:$M$130,10,0))&gt;3),$A$1&lt;5),"",VLOOKUP(VLOOKUP($A59,Centrum!$D$3:$M$130,10,0),Centrum!$A$3:$CB$130,BC$132,0))</f>
        <v/>
      </c>
      <c r="BD59" s="333" t="str">
        <f>IF(OR(OR($A59="",TYPE(VLOOKUP($A59,Centrum!$D$3:$M$130,10,0))&gt;3),$A$1&lt;5),"",VLOOKUP(VLOOKUP($A59,Centrum!$D$3:$M$130,10,0),Centrum!$A$3:$CB$130,BD$132,0))</f>
        <v/>
      </c>
      <c r="BE59" s="333" t="str">
        <f>IF(OR(OR($A59="",TYPE(VLOOKUP($A59,Centrum!$D$3:$M$130,10,0))&gt;3),$A$1&lt;5),"",VLOOKUP(VLOOKUP($A59,Centrum!$D$3:$M$130,10,0),Centrum!$A$3:$CB$130,BE$132,0))</f>
        <v/>
      </c>
      <c r="BL59" s="333" t="str">
        <f>IF(OR(OR($A59="",TYPE(VLOOKUP($A59,Centrum!$D$3:$M$130,10,0))&gt;3),$A$1&lt;6),"",VLOOKUP(VLOOKUP($A59,Centrum!$D$3:$M$130,10,0),Centrum!$A$3:$CB$130,BL$132,0))</f>
        <v/>
      </c>
      <c r="BM59" s="333" t="str">
        <f>IF(OR(OR($A59="",TYPE(VLOOKUP($A59,Centrum!$D$3:$M$130,10,0))&gt;3),$A$1&lt;6),"",VLOOKUP(VLOOKUP($A59,Centrum!$D$3:$M$130,10,0),Centrum!$A$3:$CB$130,BM$132,0))</f>
        <v/>
      </c>
      <c r="BN59" s="333" t="str">
        <f>IF(OR(OR($A59="",TYPE(VLOOKUP($A59,Centrum!$D$3:$M$130,10,0))&gt;3),$A$1&lt;6),"",VLOOKUP(VLOOKUP($A59,Centrum!$D$3:$M$130,10,0),Centrum!$A$3:$CB$130,BN$132,0))</f>
        <v/>
      </c>
    </row>
    <row r="60" spans="1:66" x14ac:dyDescent="0.25">
      <c r="A60" s="333" t="str">
        <f>Centrum!A60</f>
        <v/>
      </c>
      <c r="B60" s="439" t="str">
        <f>IF(OR($A60="",TYPE(VLOOKUP($A60,Centrum!$D$3:$M$130,10,0))&gt;3),"",VLOOKUP(VLOOKUP(A60,Centrum!$D$3:$M$130,10,0),Centrum!$A$3:$CB$130,B$132,0))</f>
        <v/>
      </c>
      <c r="C60" s="333" t="str">
        <f>IF(OR($A60="",TYPE(VLOOKUP($A60,Centrum!$D$3:$M$130,10,0))&gt;3),"",VLOOKUP($A60,Centrum!$D$3:$M$130,10,0))</f>
        <v/>
      </c>
      <c r="E60" s="333" t="str">
        <f>IF(OR($A60="",TYPE(VLOOKUP($A60,Centrum!$D$3:$M$130,10,0))&gt;3),"",VLOOKUP(VLOOKUP($A60,Centrum!$D$3:$M$130,10,0),Centrum!$A$3:$CB$130,E$132,0))</f>
        <v/>
      </c>
      <c r="F60" s="333" t="str">
        <f>IF(OR($A60="",TYPE(VLOOKUP($A60,Centrum!$D$3:$M$130,10,0))&gt;3),"",VLOOKUP(VLOOKUP($A60,Centrum!$D$3:$M$130,10,0),Centrum!$A$3:$CB$130,F$132,0))</f>
        <v/>
      </c>
      <c r="G60" s="333" t="str">
        <f>IF(OR($A60="",TYPE(VLOOKUP($A60,Centrum!$D$3:$M$130,10,0))&gt;3),"",VLOOKUP(VLOOKUP($A60,Centrum!$D$3:$M$130,10,0),Centrum!$A$3:$CB$130,G$132,0))</f>
        <v/>
      </c>
      <c r="H60" s="333" t="str">
        <f>IF($A60="","",VLOOKUP(VLOOKUP($A60,Centrum!$D$3:$M$130,10,0),Centrum!$A$3:$CB$130,H$132,0))</f>
        <v/>
      </c>
      <c r="I60" s="333" t="str">
        <f>IF($A60="","",VLOOKUP(VLOOKUP($A60,Centrum!$D$3:$M$130,10,0),Centrum!$A$3:$CB$130,I$132,0))</f>
        <v/>
      </c>
      <c r="J60" s="333" t="str">
        <f>IF(OR($A60="",TYPE(VLOOKUP($A60,Centrum!$D$3:$M$130,10,0))&gt;3),"",VLOOKUP(VLOOKUP($A60,Centrum!$D$3:$M$130,10,0),Centrum!$A$3:$CB$130,J$132,0))</f>
        <v/>
      </c>
      <c r="L60" s="333" t="str">
        <f>IF(OR($A60="",TYPE(VLOOKUP($A60,Centrum!$D$3:$M$130,10,0))&gt;3),"",VLOOKUP(VLOOKUP($A60,Centrum!$D$3:$M$130,10,0),Centrum!$A$3:$CB$130,L$132,0))</f>
        <v/>
      </c>
      <c r="M60" s="333" t="str">
        <f>IF(OR($A60="",TYPE(VLOOKUP($A60,Centrum!$D$3:$M$130,10,0))&gt;3),"",VLOOKUP(VLOOKUP($A60,Centrum!$D$3:$M$130,10,0),Centrum!$A$3:$CB$130,M$132,0))</f>
        <v/>
      </c>
      <c r="N60" s="333" t="str">
        <f>IF(OR($A60="",TYPE(VLOOKUP($A60,Centrum!$D$3:$M$130,10,0))&gt;3),"",VLOOKUP(VLOOKUP($A60,Centrum!$D$3:$M$130,10,0),Centrum!$A$3:$CB$130,N$132,0))</f>
        <v/>
      </c>
      <c r="O60" s="333" t="str">
        <f>IF(OR($A60="",TYPE(VLOOKUP($A60,Centrum!$D$3:$M$130,10,0))&gt;3),"",VLOOKUP(VLOOKUP($A60,Centrum!$D$3:$M$130,10,0),Centrum!$A$3:$CB$130,O$132,0))</f>
        <v/>
      </c>
      <c r="P60" s="333" t="str">
        <f>IF(OR($A60="",TYPE(VLOOKUP($A60,Centrum!$D$3:$M$130,10,0))&gt;3),"",VLOOKUP(VLOOKUP($A60,Centrum!$D$3:$M$130,10,0),Centrum!$A$3:$CB$130,P$132,0))</f>
        <v/>
      </c>
      <c r="Q60" s="333" t="str">
        <f>IF(OR($A60="",TYPE(VLOOKUP($A60,Centrum!$D$3:$M$130,10,0))&gt;3),"",VLOOKUP(VLOOKUP($A60,Centrum!$D$3:$M$130,10,0),Centrum!$A$3:$CB$130,Q$132,0))</f>
        <v/>
      </c>
      <c r="S60" s="333" t="str">
        <f>IF(OR($A60="",TYPE(VLOOKUP($A60,Centrum!$D$3:$M$130,10,0))&gt;3),"",VLOOKUP(VLOOKUP($A60,Centrum!$D$3:$M$130,10,0),Centrum!$A$3:$CB$130,S$132,0))</f>
        <v/>
      </c>
      <c r="T60" s="333" t="str">
        <f>IF(OR($A60="",TYPE(VLOOKUP($A60,Centrum!$D$3:$M$130,10,0))&gt;3),"",VLOOKUP(VLOOKUP($A60,Centrum!$D$3:$M$130,10,0),Centrum!$A$3:$CB$130,T$132,0))</f>
        <v/>
      </c>
      <c r="U60" s="333" t="str">
        <f>IF(OR($A60="",TYPE(VLOOKUP($A60,Centrum!$D$3:$M$130,10,0))&gt;3),"",VLOOKUP(VLOOKUP($A60,Centrum!$D$3:$M$130,10,0),Centrum!$A$3:$CB$130,U$132,0))</f>
        <v/>
      </c>
      <c r="AB60" s="333" t="str">
        <f>IF(OR($A60="",TYPE(VLOOKUP($A60,Centrum!$D$3:$M$130,10,0))&gt;3),"",VLOOKUP(VLOOKUP($A60,Centrum!$D$3:$M$130,10,0),Centrum!$A$3:$CB$130,AB$132,0))</f>
        <v/>
      </c>
      <c r="AC60" s="333" t="str">
        <f>IF(OR($A60="",TYPE(VLOOKUP($A60,Centrum!$D$3:$M$130,10,0))&gt;3),"",VLOOKUP(VLOOKUP($A60,Centrum!$D$3:$M$130,10,0),Centrum!$A$3:$CB$130,AC$132,0))</f>
        <v/>
      </c>
      <c r="AD60" s="333" t="str">
        <f>IF(OR($A60="",TYPE(VLOOKUP($A60,Centrum!$D$3:$M$130,10,0))&gt;3),"",VLOOKUP(VLOOKUP($A60,Centrum!$D$3:$M$130,10,0),Centrum!$A$3:$CB$130,AD$132,0))</f>
        <v/>
      </c>
      <c r="AK60" s="333" t="str">
        <f>IF(OR($A60="",TYPE(VLOOKUP($A60,Centrum!$D$3:$M$130,10,0))&gt;3),"",VLOOKUP(VLOOKUP($A60,Centrum!$D$3:$M$130,10,0),Centrum!$A$3:$CB$130,AK$132,0))</f>
        <v/>
      </c>
      <c r="AL60" s="333" t="str">
        <f>IF(OR($A60="",TYPE(VLOOKUP($A60,Centrum!$D$3:$M$130,10,0))&gt;3),"",VLOOKUP(VLOOKUP($A60,Centrum!$D$3:$M$130,10,0),Centrum!$A$3:$CB$130,AL$132,0))</f>
        <v/>
      </c>
      <c r="AM60" s="333" t="str">
        <f>IF(OR($A60="",TYPE(VLOOKUP($A60,Centrum!$D$3:$M$130,10,0))&gt;3),"",VLOOKUP(VLOOKUP($A60,Centrum!$D$3:$M$130,10,0),Centrum!$A$3:$CB$130,AM$132,0))</f>
        <v/>
      </c>
      <c r="AT60" s="333" t="str">
        <f>IF(OR(OR($A60="",TYPE(VLOOKUP($A60,Centrum!$D$3:$M$130,10,0))&gt;3),$A$1&lt;4),"",VLOOKUP(VLOOKUP($A60,Centrum!$D$3:$M$130,10,0),Centrum!$A$3:$CB$130,AT$132,0))</f>
        <v/>
      </c>
      <c r="AU60" s="333" t="str">
        <f>IF(OR(OR($A60="",TYPE(VLOOKUP($A60,Centrum!$D$3:$M$130,10,0))&gt;3),$A$1&lt;4),"",VLOOKUP(VLOOKUP($A60,Centrum!$D$3:$M$130,10,0),Centrum!$A$3:$CB$130,AU$132,0))</f>
        <v/>
      </c>
      <c r="AV60" s="333" t="str">
        <f>IF(OR(OR($A60="",TYPE(VLOOKUP($A60,Centrum!$D$3:$M$130,10,0))&gt;3),$A$1&lt;4),"",VLOOKUP(VLOOKUP($A60,Centrum!$D$3:$M$130,10,0),Centrum!$A$3:$CB$130,AV$132,0))</f>
        <v/>
      </c>
      <c r="BC60" s="333" t="str">
        <f>IF(OR(OR($A60="",TYPE(VLOOKUP($A60,Centrum!$D$3:$M$130,10,0))&gt;3),$A$1&lt;5),"",VLOOKUP(VLOOKUP($A60,Centrum!$D$3:$M$130,10,0),Centrum!$A$3:$CB$130,BC$132,0))</f>
        <v/>
      </c>
      <c r="BD60" s="333" t="str">
        <f>IF(OR(OR($A60="",TYPE(VLOOKUP($A60,Centrum!$D$3:$M$130,10,0))&gt;3),$A$1&lt;5),"",VLOOKUP(VLOOKUP($A60,Centrum!$D$3:$M$130,10,0),Centrum!$A$3:$CB$130,BD$132,0))</f>
        <v/>
      </c>
      <c r="BE60" s="333" t="str">
        <f>IF(OR(OR($A60="",TYPE(VLOOKUP($A60,Centrum!$D$3:$M$130,10,0))&gt;3),$A$1&lt;5),"",VLOOKUP(VLOOKUP($A60,Centrum!$D$3:$M$130,10,0),Centrum!$A$3:$CB$130,BE$132,0))</f>
        <v/>
      </c>
      <c r="BL60" s="333" t="str">
        <f>IF(OR(OR($A60="",TYPE(VLOOKUP($A60,Centrum!$D$3:$M$130,10,0))&gt;3),$A$1&lt;6),"",VLOOKUP(VLOOKUP($A60,Centrum!$D$3:$M$130,10,0),Centrum!$A$3:$CB$130,BL$132,0))</f>
        <v/>
      </c>
      <c r="BM60" s="333" t="str">
        <f>IF(OR(OR($A60="",TYPE(VLOOKUP($A60,Centrum!$D$3:$M$130,10,0))&gt;3),$A$1&lt;6),"",VLOOKUP(VLOOKUP($A60,Centrum!$D$3:$M$130,10,0),Centrum!$A$3:$CB$130,BM$132,0))</f>
        <v/>
      </c>
      <c r="BN60" s="333" t="str">
        <f>IF(OR(OR($A60="",TYPE(VLOOKUP($A60,Centrum!$D$3:$M$130,10,0))&gt;3),$A$1&lt;6),"",VLOOKUP(VLOOKUP($A60,Centrum!$D$3:$M$130,10,0),Centrum!$A$3:$CB$130,BN$132,0))</f>
        <v/>
      </c>
    </row>
    <row r="61" spans="1:66" x14ac:dyDescent="0.25">
      <c r="A61" s="333" t="str">
        <f>Centrum!A61</f>
        <v/>
      </c>
      <c r="B61" s="439" t="str">
        <f>IF(OR($A61="",TYPE(VLOOKUP($A61,Centrum!$D$3:$M$130,10,0))&gt;3),"",VLOOKUP(VLOOKUP(A61,Centrum!$D$3:$M$130,10,0),Centrum!$A$3:$CB$130,B$132,0))</f>
        <v/>
      </c>
      <c r="C61" s="333" t="str">
        <f>IF(OR($A61="",TYPE(VLOOKUP($A61,Centrum!$D$3:$M$130,10,0))&gt;3),"",VLOOKUP($A61,Centrum!$D$3:$M$130,10,0))</f>
        <v/>
      </c>
      <c r="E61" s="333" t="str">
        <f>IF(OR($A61="",TYPE(VLOOKUP($A61,Centrum!$D$3:$M$130,10,0))&gt;3),"",VLOOKUP(VLOOKUP($A61,Centrum!$D$3:$M$130,10,0),Centrum!$A$3:$CB$130,E$132,0))</f>
        <v/>
      </c>
      <c r="F61" s="333" t="str">
        <f>IF(OR($A61="",TYPE(VLOOKUP($A61,Centrum!$D$3:$M$130,10,0))&gt;3),"",VLOOKUP(VLOOKUP($A61,Centrum!$D$3:$M$130,10,0),Centrum!$A$3:$CB$130,F$132,0))</f>
        <v/>
      </c>
      <c r="G61" s="333" t="str">
        <f>IF(OR($A61="",TYPE(VLOOKUP($A61,Centrum!$D$3:$M$130,10,0))&gt;3),"",VLOOKUP(VLOOKUP($A61,Centrum!$D$3:$M$130,10,0),Centrum!$A$3:$CB$130,G$132,0))</f>
        <v/>
      </c>
      <c r="H61" s="333" t="str">
        <f>IF($A61="","",VLOOKUP(VLOOKUP($A61,Centrum!$D$3:$M$130,10,0),Centrum!$A$3:$CB$130,H$132,0))</f>
        <v/>
      </c>
      <c r="I61" s="333" t="str">
        <f>IF($A61="","",VLOOKUP(VLOOKUP($A61,Centrum!$D$3:$M$130,10,0),Centrum!$A$3:$CB$130,I$132,0))</f>
        <v/>
      </c>
      <c r="J61" s="333" t="str">
        <f>IF(OR($A61="",TYPE(VLOOKUP($A61,Centrum!$D$3:$M$130,10,0))&gt;3),"",VLOOKUP(VLOOKUP($A61,Centrum!$D$3:$M$130,10,0),Centrum!$A$3:$CB$130,J$132,0))</f>
        <v/>
      </c>
      <c r="L61" s="333" t="str">
        <f>IF(OR($A61="",TYPE(VLOOKUP($A61,Centrum!$D$3:$M$130,10,0))&gt;3),"",VLOOKUP(VLOOKUP($A61,Centrum!$D$3:$M$130,10,0),Centrum!$A$3:$CB$130,L$132,0))</f>
        <v/>
      </c>
      <c r="M61" s="333" t="str">
        <f>IF(OR($A61="",TYPE(VLOOKUP($A61,Centrum!$D$3:$M$130,10,0))&gt;3),"",VLOOKUP(VLOOKUP($A61,Centrum!$D$3:$M$130,10,0),Centrum!$A$3:$CB$130,M$132,0))</f>
        <v/>
      </c>
      <c r="N61" s="333" t="str">
        <f>IF(OR($A61="",TYPE(VLOOKUP($A61,Centrum!$D$3:$M$130,10,0))&gt;3),"",VLOOKUP(VLOOKUP($A61,Centrum!$D$3:$M$130,10,0),Centrum!$A$3:$CB$130,N$132,0))</f>
        <v/>
      </c>
      <c r="O61" s="333" t="str">
        <f>IF(OR($A61="",TYPE(VLOOKUP($A61,Centrum!$D$3:$M$130,10,0))&gt;3),"",VLOOKUP(VLOOKUP($A61,Centrum!$D$3:$M$130,10,0),Centrum!$A$3:$CB$130,O$132,0))</f>
        <v/>
      </c>
      <c r="P61" s="333" t="str">
        <f>IF(OR($A61="",TYPE(VLOOKUP($A61,Centrum!$D$3:$M$130,10,0))&gt;3),"",VLOOKUP(VLOOKUP($A61,Centrum!$D$3:$M$130,10,0),Centrum!$A$3:$CB$130,P$132,0))</f>
        <v/>
      </c>
      <c r="Q61" s="333" t="str">
        <f>IF(OR($A61="",TYPE(VLOOKUP($A61,Centrum!$D$3:$M$130,10,0))&gt;3),"",VLOOKUP(VLOOKUP($A61,Centrum!$D$3:$M$130,10,0),Centrum!$A$3:$CB$130,Q$132,0))</f>
        <v/>
      </c>
      <c r="S61" s="333" t="str">
        <f>IF(OR($A61="",TYPE(VLOOKUP($A61,Centrum!$D$3:$M$130,10,0))&gt;3),"",VLOOKUP(VLOOKUP($A61,Centrum!$D$3:$M$130,10,0),Centrum!$A$3:$CB$130,S$132,0))</f>
        <v/>
      </c>
      <c r="T61" s="333" t="str">
        <f>IF(OR($A61="",TYPE(VLOOKUP($A61,Centrum!$D$3:$M$130,10,0))&gt;3),"",VLOOKUP(VLOOKUP($A61,Centrum!$D$3:$M$130,10,0),Centrum!$A$3:$CB$130,T$132,0))</f>
        <v/>
      </c>
      <c r="U61" s="333" t="str">
        <f>IF(OR($A61="",TYPE(VLOOKUP($A61,Centrum!$D$3:$M$130,10,0))&gt;3),"",VLOOKUP(VLOOKUP($A61,Centrum!$D$3:$M$130,10,0),Centrum!$A$3:$CB$130,U$132,0))</f>
        <v/>
      </c>
      <c r="AB61" s="333" t="str">
        <f>IF(OR($A61="",TYPE(VLOOKUP($A61,Centrum!$D$3:$M$130,10,0))&gt;3),"",VLOOKUP(VLOOKUP($A61,Centrum!$D$3:$M$130,10,0),Centrum!$A$3:$CB$130,AB$132,0))</f>
        <v/>
      </c>
      <c r="AC61" s="333" t="str">
        <f>IF(OR($A61="",TYPE(VLOOKUP($A61,Centrum!$D$3:$M$130,10,0))&gt;3),"",VLOOKUP(VLOOKUP($A61,Centrum!$D$3:$M$130,10,0),Centrum!$A$3:$CB$130,AC$132,0))</f>
        <v/>
      </c>
      <c r="AD61" s="333" t="str">
        <f>IF(OR($A61="",TYPE(VLOOKUP($A61,Centrum!$D$3:$M$130,10,0))&gt;3),"",VLOOKUP(VLOOKUP($A61,Centrum!$D$3:$M$130,10,0),Centrum!$A$3:$CB$130,AD$132,0))</f>
        <v/>
      </c>
      <c r="AK61" s="333" t="str">
        <f>IF(OR($A61="",TYPE(VLOOKUP($A61,Centrum!$D$3:$M$130,10,0))&gt;3),"",VLOOKUP(VLOOKUP($A61,Centrum!$D$3:$M$130,10,0),Centrum!$A$3:$CB$130,AK$132,0))</f>
        <v/>
      </c>
      <c r="AL61" s="333" t="str">
        <f>IF(OR($A61="",TYPE(VLOOKUP($A61,Centrum!$D$3:$M$130,10,0))&gt;3),"",VLOOKUP(VLOOKUP($A61,Centrum!$D$3:$M$130,10,0),Centrum!$A$3:$CB$130,AL$132,0))</f>
        <v/>
      </c>
      <c r="AM61" s="333" t="str">
        <f>IF(OR($A61="",TYPE(VLOOKUP($A61,Centrum!$D$3:$M$130,10,0))&gt;3),"",VLOOKUP(VLOOKUP($A61,Centrum!$D$3:$M$130,10,0),Centrum!$A$3:$CB$130,AM$132,0))</f>
        <v/>
      </c>
      <c r="AT61" s="333" t="str">
        <f>IF(OR(OR($A61="",TYPE(VLOOKUP($A61,Centrum!$D$3:$M$130,10,0))&gt;3),$A$1&lt;4),"",VLOOKUP(VLOOKUP($A61,Centrum!$D$3:$M$130,10,0),Centrum!$A$3:$CB$130,AT$132,0))</f>
        <v/>
      </c>
      <c r="AU61" s="333" t="str">
        <f>IF(OR(OR($A61="",TYPE(VLOOKUP($A61,Centrum!$D$3:$M$130,10,0))&gt;3),$A$1&lt;4),"",VLOOKUP(VLOOKUP($A61,Centrum!$D$3:$M$130,10,0),Centrum!$A$3:$CB$130,AU$132,0))</f>
        <v/>
      </c>
      <c r="AV61" s="333" t="str">
        <f>IF(OR(OR($A61="",TYPE(VLOOKUP($A61,Centrum!$D$3:$M$130,10,0))&gt;3),$A$1&lt;4),"",VLOOKUP(VLOOKUP($A61,Centrum!$D$3:$M$130,10,0),Centrum!$A$3:$CB$130,AV$132,0))</f>
        <v/>
      </c>
      <c r="BC61" s="333" t="str">
        <f>IF(OR(OR($A61="",TYPE(VLOOKUP($A61,Centrum!$D$3:$M$130,10,0))&gt;3),$A$1&lt;5),"",VLOOKUP(VLOOKUP($A61,Centrum!$D$3:$M$130,10,0),Centrum!$A$3:$CB$130,BC$132,0))</f>
        <v/>
      </c>
      <c r="BD61" s="333" t="str">
        <f>IF(OR(OR($A61="",TYPE(VLOOKUP($A61,Centrum!$D$3:$M$130,10,0))&gt;3),$A$1&lt;5),"",VLOOKUP(VLOOKUP($A61,Centrum!$D$3:$M$130,10,0),Centrum!$A$3:$CB$130,BD$132,0))</f>
        <v/>
      </c>
      <c r="BE61" s="333" t="str">
        <f>IF(OR(OR($A61="",TYPE(VLOOKUP($A61,Centrum!$D$3:$M$130,10,0))&gt;3),$A$1&lt;5),"",VLOOKUP(VLOOKUP($A61,Centrum!$D$3:$M$130,10,0),Centrum!$A$3:$CB$130,BE$132,0))</f>
        <v/>
      </c>
      <c r="BL61" s="333" t="str">
        <f>IF(OR(OR($A61="",TYPE(VLOOKUP($A61,Centrum!$D$3:$M$130,10,0))&gt;3),$A$1&lt;6),"",VLOOKUP(VLOOKUP($A61,Centrum!$D$3:$M$130,10,0),Centrum!$A$3:$CB$130,BL$132,0))</f>
        <v/>
      </c>
      <c r="BM61" s="333" t="str">
        <f>IF(OR(OR($A61="",TYPE(VLOOKUP($A61,Centrum!$D$3:$M$130,10,0))&gt;3),$A$1&lt;6),"",VLOOKUP(VLOOKUP($A61,Centrum!$D$3:$M$130,10,0),Centrum!$A$3:$CB$130,BM$132,0))</f>
        <v/>
      </c>
      <c r="BN61" s="333" t="str">
        <f>IF(OR(OR($A61="",TYPE(VLOOKUP($A61,Centrum!$D$3:$M$130,10,0))&gt;3),$A$1&lt;6),"",VLOOKUP(VLOOKUP($A61,Centrum!$D$3:$M$130,10,0),Centrum!$A$3:$CB$130,BN$132,0))</f>
        <v/>
      </c>
    </row>
    <row r="62" spans="1:66" x14ac:dyDescent="0.25">
      <c r="A62" s="333" t="str">
        <f>Centrum!A62</f>
        <v/>
      </c>
      <c r="B62" s="439" t="str">
        <f>IF(OR($A62="",TYPE(VLOOKUP($A62,Centrum!$D$3:$M$130,10,0))&gt;3),"",VLOOKUP(VLOOKUP(A62,Centrum!$D$3:$M$130,10,0),Centrum!$A$3:$CB$130,B$132,0))</f>
        <v/>
      </c>
      <c r="C62" s="333" t="str">
        <f>IF(OR($A62="",TYPE(VLOOKUP($A62,Centrum!$D$3:$M$130,10,0))&gt;3),"",VLOOKUP($A62,Centrum!$D$3:$M$130,10,0))</f>
        <v/>
      </c>
      <c r="E62" s="333" t="str">
        <f>IF(OR($A62="",TYPE(VLOOKUP($A62,Centrum!$D$3:$M$130,10,0))&gt;3),"",VLOOKUP(VLOOKUP($A62,Centrum!$D$3:$M$130,10,0),Centrum!$A$3:$CB$130,E$132,0))</f>
        <v/>
      </c>
      <c r="F62" s="333" t="str">
        <f>IF(OR($A62="",TYPE(VLOOKUP($A62,Centrum!$D$3:$M$130,10,0))&gt;3),"",VLOOKUP(VLOOKUP($A62,Centrum!$D$3:$M$130,10,0),Centrum!$A$3:$CB$130,F$132,0))</f>
        <v/>
      </c>
      <c r="G62" s="333" t="str">
        <f>IF(OR($A62="",TYPE(VLOOKUP($A62,Centrum!$D$3:$M$130,10,0))&gt;3),"",VLOOKUP(VLOOKUP($A62,Centrum!$D$3:$M$130,10,0),Centrum!$A$3:$CB$130,G$132,0))</f>
        <v/>
      </c>
      <c r="H62" s="333" t="str">
        <f>IF($A62="","",VLOOKUP(VLOOKUP($A62,Centrum!$D$3:$M$130,10,0),Centrum!$A$3:$CB$130,H$132,0))</f>
        <v/>
      </c>
      <c r="I62" s="333" t="str">
        <f>IF($A62="","",VLOOKUP(VLOOKUP($A62,Centrum!$D$3:$M$130,10,0),Centrum!$A$3:$CB$130,I$132,0))</f>
        <v/>
      </c>
      <c r="J62" s="333" t="str">
        <f>IF(OR($A62="",TYPE(VLOOKUP($A62,Centrum!$D$3:$M$130,10,0))&gt;3),"",VLOOKUP(VLOOKUP($A62,Centrum!$D$3:$M$130,10,0),Centrum!$A$3:$CB$130,J$132,0))</f>
        <v/>
      </c>
      <c r="L62" s="333" t="str">
        <f>IF(OR($A62="",TYPE(VLOOKUP($A62,Centrum!$D$3:$M$130,10,0))&gt;3),"",VLOOKUP(VLOOKUP($A62,Centrum!$D$3:$M$130,10,0),Centrum!$A$3:$CB$130,L$132,0))</f>
        <v/>
      </c>
      <c r="M62" s="333" t="str">
        <f>IF(OR($A62="",TYPE(VLOOKUP($A62,Centrum!$D$3:$M$130,10,0))&gt;3),"",VLOOKUP(VLOOKUP($A62,Centrum!$D$3:$M$130,10,0),Centrum!$A$3:$CB$130,M$132,0))</f>
        <v/>
      </c>
      <c r="N62" s="333" t="str">
        <f>IF(OR($A62="",TYPE(VLOOKUP($A62,Centrum!$D$3:$M$130,10,0))&gt;3),"",VLOOKUP(VLOOKUP($A62,Centrum!$D$3:$M$130,10,0),Centrum!$A$3:$CB$130,N$132,0))</f>
        <v/>
      </c>
      <c r="O62" s="333" t="str">
        <f>IF(OR($A62="",TYPE(VLOOKUP($A62,Centrum!$D$3:$M$130,10,0))&gt;3),"",VLOOKUP(VLOOKUP($A62,Centrum!$D$3:$M$130,10,0),Centrum!$A$3:$CB$130,O$132,0))</f>
        <v/>
      </c>
      <c r="P62" s="333" t="str">
        <f>IF(OR($A62="",TYPE(VLOOKUP($A62,Centrum!$D$3:$M$130,10,0))&gt;3),"",VLOOKUP(VLOOKUP($A62,Centrum!$D$3:$M$130,10,0),Centrum!$A$3:$CB$130,P$132,0))</f>
        <v/>
      </c>
      <c r="Q62" s="333" t="str">
        <f>IF(OR($A62="",TYPE(VLOOKUP($A62,Centrum!$D$3:$M$130,10,0))&gt;3),"",VLOOKUP(VLOOKUP($A62,Centrum!$D$3:$M$130,10,0),Centrum!$A$3:$CB$130,Q$132,0))</f>
        <v/>
      </c>
      <c r="S62" s="333" t="str">
        <f>IF(OR($A62="",TYPE(VLOOKUP($A62,Centrum!$D$3:$M$130,10,0))&gt;3),"",VLOOKUP(VLOOKUP($A62,Centrum!$D$3:$M$130,10,0),Centrum!$A$3:$CB$130,S$132,0))</f>
        <v/>
      </c>
      <c r="T62" s="333" t="str">
        <f>IF(OR($A62="",TYPE(VLOOKUP($A62,Centrum!$D$3:$M$130,10,0))&gt;3),"",VLOOKUP(VLOOKUP($A62,Centrum!$D$3:$M$130,10,0),Centrum!$A$3:$CB$130,T$132,0))</f>
        <v/>
      </c>
      <c r="U62" s="333" t="str">
        <f>IF(OR($A62="",TYPE(VLOOKUP($A62,Centrum!$D$3:$M$130,10,0))&gt;3),"",VLOOKUP(VLOOKUP($A62,Centrum!$D$3:$M$130,10,0),Centrum!$A$3:$CB$130,U$132,0))</f>
        <v/>
      </c>
      <c r="AB62" s="333" t="str">
        <f>IF(OR($A62="",TYPE(VLOOKUP($A62,Centrum!$D$3:$M$130,10,0))&gt;3),"",VLOOKUP(VLOOKUP($A62,Centrum!$D$3:$M$130,10,0),Centrum!$A$3:$CB$130,AB$132,0))</f>
        <v/>
      </c>
      <c r="AC62" s="333" t="str">
        <f>IF(OR($A62="",TYPE(VLOOKUP($A62,Centrum!$D$3:$M$130,10,0))&gt;3),"",VLOOKUP(VLOOKUP($A62,Centrum!$D$3:$M$130,10,0),Centrum!$A$3:$CB$130,AC$132,0))</f>
        <v/>
      </c>
      <c r="AD62" s="333" t="str">
        <f>IF(OR($A62="",TYPE(VLOOKUP($A62,Centrum!$D$3:$M$130,10,0))&gt;3),"",VLOOKUP(VLOOKUP($A62,Centrum!$D$3:$M$130,10,0),Centrum!$A$3:$CB$130,AD$132,0))</f>
        <v/>
      </c>
      <c r="AK62" s="333" t="str">
        <f>IF(OR($A62="",TYPE(VLOOKUP($A62,Centrum!$D$3:$M$130,10,0))&gt;3),"",VLOOKUP(VLOOKUP($A62,Centrum!$D$3:$M$130,10,0),Centrum!$A$3:$CB$130,AK$132,0))</f>
        <v/>
      </c>
      <c r="AL62" s="333" t="str">
        <f>IF(OR($A62="",TYPE(VLOOKUP($A62,Centrum!$D$3:$M$130,10,0))&gt;3),"",VLOOKUP(VLOOKUP($A62,Centrum!$D$3:$M$130,10,0),Centrum!$A$3:$CB$130,AL$132,0))</f>
        <v/>
      </c>
      <c r="AM62" s="333" t="str">
        <f>IF(OR($A62="",TYPE(VLOOKUP($A62,Centrum!$D$3:$M$130,10,0))&gt;3),"",VLOOKUP(VLOOKUP($A62,Centrum!$D$3:$M$130,10,0),Centrum!$A$3:$CB$130,AM$132,0))</f>
        <v/>
      </c>
      <c r="AT62" s="333" t="str">
        <f>IF(OR(OR($A62="",TYPE(VLOOKUP($A62,Centrum!$D$3:$M$130,10,0))&gt;3),$A$1&lt;4),"",VLOOKUP(VLOOKUP($A62,Centrum!$D$3:$M$130,10,0),Centrum!$A$3:$CB$130,AT$132,0))</f>
        <v/>
      </c>
      <c r="AU62" s="333" t="str">
        <f>IF(OR(OR($A62="",TYPE(VLOOKUP($A62,Centrum!$D$3:$M$130,10,0))&gt;3),$A$1&lt;4),"",VLOOKUP(VLOOKUP($A62,Centrum!$D$3:$M$130,10,0),Centrum!$A$3:$CB$130,AU$132,0))</f>
        <v/>
      </c>
      <c r="AV62" s="333" t="str">
        <f>IF(OR(OR($A62="",TYPE(VLOOKUP($A62,Centrum!$D$3:$M$130,10,0))&gt;3),$A$1&lt;4),"",VLOOKUP(VLOOKUP($A62,Centrum!$D$3:$M$130,10,0),Centrum!$A$3:$CB$130,AV$132,0))</f>
        <v/>
      </c>
      <c r="BC62" s="333" t="str">
        <f>IF(OR(OR($A62="",TYPE(VLOOKUP($A62,Centrum!$D$3:$M$130,10,0))&gt;3),$A$1&lt;5),"",VLOOKUP(VLOOKUP($A62,Centrum!$D$3:$M$130,10,0),Centrum!$A$3:$CB$130,BC$132,0))</f>
        <v/>
      </c>
      <c r="BD62" s="333" t="str">
        <f>IF(OR(OR($A62="",TYPE(VLOOKUP($A62,Centrum!$D$3:$M$130,10,0))&gt;3),$A$1&lt;5),"",VLOOKUP(VLOOKUP($A62,Centrum!$D$3:$M$130,10,0),Centrum!$A$3:$CB$130,BD$132,0))</f>
        <v/>
      </c>
      <c r="BE62" s="333" t="str">
        <f>IF(OR(OR($A62="",TYPE(VLOOKUP($A62,Centrum!$D$3:$M$130,10,0))&gt;3),$A$1&lt;5),"",VLOOKUP(VLOOKUP($A62,Centrum!$D$3:$M$130,10,0),Centrum!$A$3:$CB$130,BE$132,0))</f>
        <v/>
      </c>
      <c r="BL62" s="333" t="str">
        <f>IF(OR(OR($A62="",TYPE(VLOOKUP($A62,Centrum!$D$3:$M$130,10,0))&gt;3),$A$1&lt;6),"",VLOOKUP(VLOOKUP($A62,Centrum!$D$3:$M$130,10,0),Centrum!$A$3:$CB$130,BL$132,0))</f>
        <v/>
      </c>
      <c r="BM62" s="333" t="str">
        <f>IF(OR(OR($A62="",TYPE(VLOOKUP($A62,Centrum!$D$3:$M$130,10,0))&gt;3),$A$1&lt;6),"",VLOOKUP(VLOOKUP($A62,Centrum!$D$3:$M$130,10,0),Centrum!$A$3:$CB$130,BM$132,0))</f>
        <v/>
      </c>
      <c r="BN62" s="333" t="str">
        <f>IF(OR(OR($A62="",TYPE(VLOOKUP($A62,Centrum!$D$3:$M$130,10,0))&gt;3),$A$1&lt;6),"",VLOOKUP(VLOOKUP($A62,Centrum!$D$3:$M$130,10,0),Centrum!$A$3:$CB$130,BN$132,0))</f>
        <v/>
      </c>
    </row>
    <row r="63" spans="1:66" x14ac:dyDescent="0.25">
      <c r="A63" s="333" t="str">
        <f>Centrum!A63</f>
        <v/>
      </c>
      <c r="B63" s="439" t="str">
        <f>IF(OR($A63="",TYPE(VLOOKUP($A63,Centrum!$D$3:$M$130,10,0))&gt;3),"",VLOOKUP(VLOOKUP(A63,Centrum!$D$3:$M$130,10,0),Centrum!$A$3:$CB$130,B$132,0))</f>
        <v/>
      </c>
      <c r="C63" s="333" t="str">
        <f>IF(OR($A63="",TYPE(VLOOKUP($A63,Centrum!$D$3:$M$130,10,0))&gt;3),"",VLOOKUP($A63,Centrum!$D$3:$M$130,10,0))</f>
        <v/>
      </c>
      <c r="E63" s="333" t="str">
        <f>IF(OR($A63="",TYPE(VLOOKUP($A63,Centrum!$D$3:$M$130,10,0))&gt;3),"",VLOOKUP(VLOOKUP($A63,Centrum!$D$3:$M$130,10,0),Centrum!$A$3:$CB$130,E$132,0))</f>
        <v/>
      </c>
      <c r="F63" s="333" t="str">
        <f>IF(OR($A63="",TYPE(VLOOKUP($A63,Centrum!$D$3:$M$130,10,0))&gt;3),"",VLOOKUP(VLOOKUP($A63,Centrum!$D$3:$M$130,10,0),Centrum!$A$3:$CB$130,F$132,0))</f>
        <v/>
      </c>
      <c r="G63" s="333" t="str">
        <f>IF(OR($A63="",TYPE(VLOOKUP($A63,Centrum!$D$3:$M$130,10,0))&gt;3),"",VLOOKUP(VLOOKUP($A63,Centrum!$D$3:$M$130,10,0),Centrum!$A$3:$CB$130,G$132,0))</f>
        <v/>
      </c>
      <c r="H63" s="333" t="str">
        <f>IF($A63="","",VLOOKUP(VLOOKUP($A63,Centrum!$D$3:$M$130,10,0),Centrum!$A$3:$CB$130,H$132,0))</f>
        <v/>
      </c>
      <c r="I63" s="333" t="str">
        <f>IF($A63="","",VLOOKUP(VLOOKUP($A63,Centrum!$D$3:$M$130,10,0),Centrum!$A$3:$CB$130,I$132,0))</f>
        <v/>
      </c>
      <c r="J63" s="333" t="str">
        <f>IF(OR($A63="",TYPE(VLOOKUP($A63,Centrum!$D$3:$M$130,10,0))&gt;3),"",VLOOKUP(VLOOKUP($A63,Centrum!$D$3:$M$130,10,0),Centrum!$A$3:$CB$130,J$132,0))</f>
        <v/>
      </c>
      <c r="L63" s="333" t="str">
        <f>IF(OR($A63="",TYPE(VLOOKUP($A63,Centrum!$D$3:$M$130,10,0))&gt;3),"",VLOOKUP(VLOOKUP($A63,Centrum!$D$3:$M$130,10,0),Centrum!$A$3:$CB$130,L$132,0))</f>
        <v/>
      </c>
      <c r="M63" s="333" t="str">
        <f>IF(OR($A63="",TYPE(VLOOKUP($A63,Centrum!$D$3:$M$130,10,0))&gt;3),"",VLOOKUP(VLOOKUP($A63,Centrum!$D$3:$M$130,10,0),Centrum!$A$3:$CB$130,M$132,0))</f>
        <v/>
      </c>
      <c r="N63" s="333" t="str">
        <f>IF(OR($A63="",TYPE(VLOOKUP($A63,Centrum!$D$3:$M$130,10,0))&gt;3),"",VLOOKUP(VLOOKUP($A63,Centrum!$D$3:$M$130,10,0),Centrum!$A$3:$CB$130,N$132,0))</f>
        <v/>
      </c>
      <c r="O63" s="333" t="str">
        <f>IF(OR($A63="",TYPE(VLOOKUP($A63,Centrum!$D$3:$M$130,10,0))&gt;3),"",VLOOKUP(VLOOKUP($A63,Centrum!$D$3:$M$130,10,0),Centrum!$A$3:$CB$130,O$132,0))</f>
        <v/>
      </c>
      <c r="P63" s="333" t="str">
        <f>IF(OR($A63="",TYPE(VLOOKUP($A63,Centrum!$D$3:$M$130,10,0))&gt;3),"",VLOOKUP(VLOOKUP($A63,Centrum!$D$3:$M$130,10,0),Centrum!$A$3:$CB$130,P$132,0))</f>
        <v/>
      </c>
      <c r="Q63" s="333" t="str">
        <f>IF(OR($A63="",TYPE(VLOOKUP($A63,Centrum!$D$3:$M$130,10,0))&gt;3),"",VLOOKUP(VLOOKUP($A63,Centrum!$D$3:$M$130,10,0),Centrum!$A$3:$CB$130,Q$132,0))</f>
        <v/>
      </c>
      <c r="S63" s="333" t="str">
        <f>IF(OR($A63="",TYPE(VLOOKUP($A63,Centrum!$D$3:$M$130,10,0))&gt;3),"",VLOOKUP(VLOOKUP($A63,Centrum!$D$3:$M$130,10,0),Centrum!$A$3:$CB$130,S$132,0))</f>
        <v/>
      </c>
      <c r="T63" s="333" t="str">
        <f>IF(OR($A63="",TYPE(VLOOKUP($A63,Centrum!$D$3:$M$130,10,0))&gt;3),"",VLOOKUP(VLOOKUP($A63,Centrum!$D$3:$M$130,10,0),Centrum!$A$3:$CB$130,T$132,0))</f>
        <v/>
      </c>
      <c r="U63" s="333" t="str">
        <f>IF(OR($A63="",TYPE(VLOOKUP($A63,Centrum!$D$3:$M$130,10,0))&gt;3),"",VLOOKUP(VLOOKUP($A63,Centrum!$D$3:$M$130,10,0),Centrum!$A$3:$CB$130,U$132,0))</f>
        <v/>
      </c>
      <c r="AB63" s="333" t="str">
        <f>IF(OR($A63="",TYPE(VLOOKUP($A63,Centrum!$D$3:$M$130,10,0))&gt;3),"",VLOOKUP(VLOOKUP($A63,Centrum!$D$3:$M$130,10,0),Centrum!$A$3:$CB$130,AB$132,0))</f>
        <v/>
      </c>
      <c r="AC63" s="333" t="str">
        <f>IF(OR($A63="",TYPE(VLOOKUP($A63,Centrum!$D$3:$M$130,10,0))&gt;3),"",VLOOKUP(VLOOKUP($A63,Centrum!$D$3:$M$130,10,0),Centrum!$A$3:$CB$130,AC$132,0))</f>
        <v/>
      </c>
      <c r="AD63" s="333" t="str">
        <f>IF(OR($A63="",TYPE(VLOOKUP($A63,Centrum!$D$3:$M$130,10,0))&gt;3),"",VLOOKUP(VLOOKUP($A63,Centrum!$D$3:$M$130,10,0),Centrum!$A$3:$CB$130,AD$132,0))</f>
        <v/>
      </c>
      <c r="AK63" s="333" t="str">
        <f>IF(OR($A63="",TYPE(VLOOKUP($A63,Centrum!$D$3:$M$130,10,0))&gt;3),"",VLOOKUP(VLOOKUP($A63,Centrum!$D$3:$M$130,10,0),Centrum!$A$3:$CB$130,AK$132,0))</f>
        <v/>
      </c>
      <c r="AL63" s="333" t="str">
        <f>IF(OR($A63="",TYPE(VLOOKUP($A63,Centrum!$D$3:$M$130,10,0))&gt;3),"",VLOOKUP(VLOOKUP($A63,Centrum!$D$3:$M$130,10,0),Centrum!$A$3:$CB$130,AL$132,0))</f>
        <v/>
      </c>
      <c r="AM63" s="333" t="str">
        <f>IF(OR($A63="",TYPE(VLOOKUP($A63,Centrum!$D$3:$M$130,10,0))&gt;3),"",VLOOKUP(VLOOKUP($A63,Centrum!$D$3:$M$130,10,0),Centrum!$A$3:$CB$130,AM$132,0))</f>
        <v/>
      </c>
      <c r="AT63" s="333" t="str">
        <f>IF(OR(OR($A63="",TYPE(VLOOKUP($A63,Centrum!$D$3:$M$130,10,0))&gt;3),$A$1&lt;4),"",VLOOKUP(VLOOKUP($A63,Centrum!$D$3:$M$130,10,0),Centrum!$A$3:$CB$130,AT$132,0))</f>
        <v/>
      </c>
      <c r="AU63" s="333" t="str">
        <f>IF(OR(OR($A63="",TYPE(VLOOKUP($A63,Centrum!$D$3:$M$130,10,0))&gt;3),$A$1&lt;4),"",VLOOKUP(VLOOKUP($A63,Centrum!$D$3:$M$130,10,0),Centrum!$A$3:$CB$130,AU$132,0))</f>
        <v/>
      </c>
      <c r="AV63" s="333" t="str">
        <f>IF(OR(OR($A63="",TYPE(VLOOKUP($A63,Centrum!$D$3:$M$130,10,0))&gt;3),$A$1&lt;4),"",VLOOKUP(VLOOKUP($A63,Centrum!$D$3:$M$130,10,0),Centrum!$A$3:$CB$130,AV$132,0))</f>
        <v/>
      </c>
      <c r="BC63" s="333" t="str">
        <f>IF(OR(OR($A63="",TYPE(VLOOKUP($A63,Centrum!$D$3:$M$130,10,0))&gt;3),$A$1&lt;5),"",VLOOKUP(VLOOKUP($A63,Centrum!$D$3:$M$130,10,0),Centrum!$A$3:$CB$130,BC$132,0))</f>
        <v/>
      </c>
      <c r="BD63" s="333" t="str">
        <f>IF(OR(OR($A63="",TYPE(VLOOKUP($A63,Centrum!$D$3:$M$130,10,0))&gt;3),$A$1&lt;5),"",VLOOKUP(VLOOKUP($A63,Centrum!$D$3:$M$130,10,0),Centrum!$A$3:$CB$130,BD$132,0))</f>
        <v/>
      </c>
      <c r="BE63" s="333" t="str">
        <f>IF(OR(OR($A63="",TYPE(VLOOKUP($A63,Centrum!$D$3:$M$130,10,0))&gt;3),$A$1&lt;5),"",VLOOKUP(VLOOKUP($A63,Centrum!$D$3:$M$130,10,0),Centrum!$A$3:$CB$130,BE$132,0))</f>
        <v/>
      </c>
      <c r="BL63" s="333" t="str">
        <f>IF(OR(OR($A63="",TYPE(VLOOKUP($A63,Centrum!$D$3:$M$130,10,0))&gt;3),$A$1&lt;6),"",VLOOKUP(VLOOKUP($A63,Centrum!$D$3:$M$130,10,0),Centrum!$A$3:$CB$130,BL$132,0))</f>
        <v/>
      </c>
      <c r="BM63" s="333" t="str">
        <f>IF(OR(OR($A63="",TYPE(VLOOKUP($A63,Centrum!$D$3:$M$130,10,0))&gt;3),$A$1&lt;6),"",VLOOKUP(VLOOKUP($A63,Centrum!$D$3:$M$130,10,0),Centrum!$A$3:$CB$130,BM$132,0))</f>
        <v/>
      </c>
      <c r="BN63" s="333" t="str">
        <f>IF(OR(OR($A63="",TYPE(VLOOKUP($A63,Centrum!$D$3:$M$130,10,0))&gt;3),$A$1&lt;6),"",VLOOKUP(VLOOKUP($A63,Centrum!$D$3:$M$130,10,0),Centrum!$A$3:$CB$130,BN$132,0))</f>
        <v/>
      </c>
    </row>
    <row r="64" spans="1:66" x14ac:dyDescent="0.25">
      <c r="A64" s="333" t="str">
        <f>Centrum!A64</f>
        <v/>
      </c>
      <c r="B64" s="439" t="str">
        <f>IF(OR($A64="",TYPE(VLOOKUP($A64,Centrum!$D$3:$M$130,10,0))&gt;3),"",VLOOKUP(VLOOKUP(A64,Centrum!$D$3:$M$130,10,0),Centrum!$A$3:$CB$130,B$132,0))</f>
        <v/>
      </c>
      <c r="C64" s="333" t="str">
        <f>IF(OR($A64="",TYPE(VLOOKUP($A64,Centrum!$D$3:$M$130,10,0))&gt;3),"",VLOOKUP($A64,Centrum!$D$3:$M$130,10,0))</f>
        <v/>
      </c>
      <c r="E64" s="333" t="str">
        <f>IF(OR($A64="",TYPE(VLOOKUP($A64,Centrum!$D$3:$M$130,10,0))&gt;3),"",VLOOKUP(VLOOKUP($A64,Centrum!$D$3:$M$130,10,0),Centrum!$A$3:$CB$130,E$132,0))</f>
        <v/>
      </c>
      <c r="F64" s="333" t="str">
        <f>IF(OR($A64="",TYPE(VLOOKUP($A64,Centrum!$D$3:$M$130,10,0))&gt;3),"",VLOOKUP(VLOOKUP($A64,Centrum!$D$3:$M$130,10,0),Centrum!$A$3:$CB$130,F$132,0))</f>
        <v/>
      </c>
      <c r="G64" s="333" t="str">
        <f>IF(OR($A64="",TYPE(VLOOKUP($A64,Centrum!$D$3:$M$130,10,0))&gt;3),"",VLOOKUP(VLOOKUP($A64,Centrum!$D$3:$M$130,10,0),Centrum!$A$3:$CB$130,G$132,0))</f>
        <v/>
      </c>
      <c r="H64" s="333" t="str">
        <f>IF($A64="","",VLOOKUP(VLOOKUP($A64,Centrum!$D$3:$M$130,10,0),Centrum!$A$3:$CB$130,H$132,0))</f>
        <v/>
      </c>
      <c r="I64" s="333" t="str">
        <f>IF($A64="","",VLOOKUP(VLOOKUP($A64,Centrum!$D$3:$M$130,10,0),Centrum!$A$3:$CB$130,I$132,0))</f>
        <v/>
      </c>
      <c r="J64" s="333" t="str">
        <f>IF(OR($A64="",TYPE(VLOOKUP($A64,Centrum!$D$3:$M$130,10,0))&gt;3),"",VLOOKUP(VLOOKUP($A64,Centrum!$D$3:$M$130,10,0),Centrum!$A$3:$CB$130,J$132,0))</f>
        <v/>
      </c>
      <c r="L64" s="333" t="str">
        <f>IF(OR($A64="",TYPE(VLOOKUP($A64,Centrum!$D$3:$M$130,10,0))&gt;3),"",VLOOKUP(VLOOKUP($A64,Centrum!$D$3:$M$130,10,0),Centrum!$A$3:$CB$130,L$132,0))</f>
        <v/>
      </c>
      <c r="M64" s="333" t="str">
        <f>IF(OR($A64="",TYPE(VLOOKUP($A64,Centrum!$D$3:$M$130,10,0))&gt;3),"",VLOOKUP(VLOOKUP($A64,Centrum!$D$3:$M$130,10,0),Centrum!$A$3:$CB$130,M$132,0))</f>
        <v/>
      </c>
      <c r="N64" s="333" t="str">
        <f>IF(OR($A64="",TYPE(VLOOKUP($A64,Centrum!$D$3:$M$130,10,0))&gt;3),"",VLOOKUP(VLOOKUP($A64,Centrum!$D$3:$M$130,10,0),Centrum!$A$3:$CB$130,N$132,0))</f>
        <v/>
      </c>
      <c r="O64" s="333" t="str">
        <f>IF(OR($A64="",TYPE(VLOOKUP($A64,Centrum!$D$3:$M$130,10,0))&gt;3),"",VLOOKUP(VLOOKUP($A64,Centrum!$D$3:$M$130,10,0),Centrum!$A$3:$CB$130,O$132,0))</f>
        <v/>
      </c>
      <c r="P64" s="333" t="str">
        <f>IF(OR($A64="",TYPE(VLOOKUP($A64,Centrum!$D$3:$M$130,10,0))&gt;3),"",VLOOKUP(VLOOKUP($A64,Centrum!$D$3:$M$130,10,0),Centrum!$A$3:$CB$130,P$132,0))</f>
        <v/>
      </c>
      <c r="Q64" s="333" t="str">
        <f>IF(OR($A64="",TYPE(VLOOKUP($A64,Centrum!$D$3:$M$130,10,0))&gt;3),"",VLOOKUP(VLOOKUP($A64,Centrum!$D$3:$M$130,10,0),Centrum!$A$3:$CB$130,Q$132,0))</f>
        <v/>
      </c>
      <c r="S64" s="333" t="str">
        <f>IF(OR($A64="",TYPE(VLOOKUP($A64,Centrum!$D$3:$M$130,10,0))&gt;3),"",VLOOKUP(VLOOKUP($A64,Centrum!$D$3:$M$130,10,0),Centrum!$A$3:$CB$130,S$132,0))</f>
        <v/>
      </c>
      <c r="T64" s="333" t="str">
        <f>IF(OR($A64="",TYPE(VLOOKUP($A64,Centrum!$D$3:$M$130,10,0))&gt;3),"",VLOOKUP(VLOOKUP($A64,Centrum!$D$3:$M$130,10,0),Centrum!$A$3:$CB$130,T$132,0))</f>
        <v/>
      </c>
      <c r="U64" s="333" t="str">
        <f>IF(OR($A64="",TYPE(VLOOKUP($A64,Centrum!$D$3:$M$130,10,0))&gt;3),"",VLOOKUP(VLOOKUP($A64,Centrum!$D$3:$M$130,10,0),Centrum!$A$3:$CB$130,U$132,0))</f>
        <v/>
      </c>
      <c r="AB64" s="333" t="str">
        <f>IF(OR($A64="",TYPE(VLOOKUP($A64,Centrum!$D$3:$M$130,10,0))&gt;3),"",VLOOKUP(VLOOKUP($A64,Centrum!$D$3:$M$130,10,0),Centrum!$A$3:$CB$130,AB$132,0))</f>
        <v/>
      </c>
      <c r="AC64" s="333" t="str">
        <f>IF(OR($A64="",TYPE(VLOOKUP($A64,Centrum!$D$3:$M$130,10,0))&gt;3),"",VLOOKUP(VLOOKUP($A64,Centrum!$D$3:$M$130,10,0),Centrum!$A$3:$CB$130,AC$132,0))</f>
        <v/>
      </c>
      <c r="AD64" s="333" t="str">
        <f>IF(OR($A64="",TYPE(VLOOKUP($A64,Centrum!$D$3:$M$130,10,0))&gt;3),"",VLOOKUP(VLOOKUP($A64,Centrum!$D$3:$M$130,10,0),Centrum!$A$3:$CB$130,AD$132,0))</f>
        <v/>
      </c>
      <c r="AK64" s="333" t="str">
        <f>IF(OR($A64="",TYPE(VLOOKUP($A64,Centrum!$D$3:$M$130,10,0))&gt;3),"",VLOOKUP(VLOOKUP($A64,Centrum!$D$3:$M$130,10,0),Centrum!$A$3:$CB$130,AK$132,0))</f>
        <v/>
      </c>
      <c r="AL64" s="333" t="str">
        <f>IF(OR($A64="",TYPE(VLOOKUP($A64,Centrum!$D$3:$M$130,10,0))&gt;3),"",VLOOKUP(VLOOKUP($A64,Centrum!$D$3:$M$130,10,0),Centrum!$A$3:$CB$130,AL$132,0))</f>
        <v/>
      </c>
      <c r="AM64" s="333" t="str">
        <f>IF(OR($A64="",TYPE(VLOOKUP($A64,Centrum!$D$3:$M$130,10,0))&gt;3),"",VLOOKUP(VLOOKUP($A64,Centrum!$D$3:$M$130,10,0),Centrum!$A$3:$CB$130,AM$132,0))</f>
        <v/>
      </c>
      <c r="AT64" s="333" t="str">
        <f>IF(OR(OR($A64="",TYPE(VLOOKUP($A64,Centrum!$D$3:$M$130,10,0))&gt;3),$A$1&lt;4),"",VLOOKUP(VLOOKUP($A64,Centrum!$D$3:$M$130,10,0),Centrum!$A$3:$CB$130,AT$132,0))</f>
        <v/>
      </c>
      <c r="AU64" s="333" t="str">
        <f>IF(OR(OR($A64="",TYPE(VLOOKUP($A64,Centrum!$D$3:$M$130,10,0))&gt;3),$A$1&lt;4),"",VLOOKUP(VLOOKUP($A64,Centrum!$D$3:$M$130,10,0),Centrum!$A$3:$CB$130,AU$132,0))</f>
        <v/>
      </c>
      <c r="AV64" s="333" t="str">
        <f>IF(OR(OR($A64="",TYPE(VLOOKUP($A64,Centrum!$D$3:$M$130,10,0))&gt;3),$A$1&lt;4),"",VLOOKUP(VLOOKUP($A64,Centrum!$D$3:$M$130,10,0),Centrum!$A$3:$CB$130,AV$132,0))</f>
        <v/>
      </c>
      <c r="BC64" s="333" t="str">
        <f>IF(OR(OR($A64="",TYPE(VLOOKUP($A64,Centrum!$D$3:$M$130,10,0))&gt;3),$A$1&lt;5),"",VLOOKUP(VLOOKUP($A64,Centrum!$D$3:$M$130,10,0),Centrum!$A$3:$CB$130,BC$132,0))</f>
        <v/>
      </c>
      <c r="BD64" s="333" t="str">
        <f>IF(OR(OR($A64="",TYPE(VLOOKUP($A64,Centrum!$D$3:$M$130,10,0))&gt;3),$A$1&lt;5),"",VLOOKUP(VLOOKUP($A64,Centrum!$D$3:$M$130,10,0),Centrum!$A$3:$CB$130,BD$132,0))</f>
        <v/>
      </c>
      <c r="BE64" s="333" t="str">
        <f>IF(OR(OR($A64="",TYPE(VLOOKUP($A64,Centrum!$D$3:$M$130,10,0))&gt;3),$A$1&lt;5),"",VLOOKUP(VLOOKUP($A64,Centrum!$D$3:$M$130,10,0),Centrum!$A$3:$CB$130,BE$132,0))</f>
        <v/>
      </c>
      <c r="BL64" s="333" t="str">
        <f>IF(OR(OR($A64="",TYPE(VLOOKUP($A64,Centrum!$D$3:$M$130,10,0))&gt;3),$A$1&lt;6),"",VLOOKUP(VLOOKUP($A64,Centrum!$D$3:$M$130,10,0),Centrum!$A$3:$CB$130,BL$132,0))</f>
        <v/>
      </c>
      <c r="BM64" s="333" t="str">
        <f>IF(OR(OR($A64="",TYPE(VLOOKUP($A64,Centrum!$D$3:$M$130,10,0))&gt;3),$A$1&lt;6),"",VLOOKUP(VLOOKUP($A64,Centrum!$D$3:$M$130,10,0),Centrum!$A$3:$CB$130,BM$132,0))</f>
        <v/>
      </c>
      <c r="BN64" s="333" t="str">
        <f>IF(OR(OR($A64="",TYPE(VLOOKUP($A64,Centrum!$D$3:$M$130,10,0))&gt;3),$A$1&lt;6),"",VLOOKUP(VLOOKUP($A64,Centrum!$D$3:$M$130,10,0),Centrum!$A$3:$CB$130,BN$132,0))</f>
        <v/>
      </c>
    </row>
    <row r="65" spans="1:66" x14ac:dyDescent="0.25">
      <c r="A65" s="333" t="str">
        <f>Centrum!A65</f>
        <v/>
      </c>
      <c r="B65" s="439" t="str">
        <f>IF(OR($A65="",TYPE(VLOOKUP($A65,Centrum!$D$3:$M$130,10,0))&gt;3),"",VLOOKUP(VLOOKUP(A65,Centrum!$D$3:$M$130,10,0),Centrum!$A$3:$CB$130,B$132,0))</f>
        <v/>
      </c>
      <c r="C65" s="333" t="str">
        <f>IF(OR($A65="",TYPE(VLOOKUP($A65,Centrum!$D$3:$M$130,10,0))&gt;3),"",VLOOKUP($A65,Centrum!$D$3:$M$130,10,0))</f>
        <v/>
      </c>
      <c r="E65" s="333" t="str">
        <f>IF(OR($A65="",TYPE(VLOOKUP($A65,Centrum!$D$3:$M$130,10,0))&gt;3),"",VLOOKUP(VLOOKUP($A65,Centrum!$D$3:$M$130,10,0),Centrum!$A$3:$CB$130,E$132,0))</f>
        <v/>
      </c>
      <c r="F65" s="333" t="str">
        <f>IF(OR($A65="",TYPE(VLOOKUP($A65,Centrum!$D$3:$M$130,10,0))&gt;3),"",VLOOKUP(VLOOKUP($A65,Centrum!$D$3:$M$130,10,0),Centrum!$A$3:$CB$130,F$132,0))</f>
        <v/>
      </c>
      <c r="G65" s="333" t="str">
        <f>IF(OR($A65="",TYPE(VLOOKUP($A65,Centrum!$D$3:$M$130,10,0))&gt;3),"",VLOOKUP(VLOOKUP($A65,Centrum!$D$3:$M$130,10,0),Centrum!$A$3:$CB$130,G$132,0))</f>
        <v/>
      </c>
      <c r="H65" s="333" t="str">
        <f>IF($A65="","",VLOOKUP(VLOOKUP($A65,Centrum!$D$3:$M$130,10,0),Centrum!$A$3:$CB$130,H$132,0))</f>
        <v/>
      </c>
      <c r="I65" s="333" t="str">
        <f>IF($A65="","",VLOOKUP(VLOOKUP($A65,Centrum!$D$3:$M$130,10,0),Centrum!$A$3:$CB$130,I$132,0))</f>
        <v/>
      </c>
      <c r="J65" s="333" t="str">
        <f>IF(OR($A65="",TYPE(VLOOKUP($A65,Centrum!$D$3:$M$130,10,0))&gt;3),"",VLOOKUP(VLOOKUP($A65,Centrum!$D$3:$M$130,10,0),Centrum!$A$3:$CB$130,J$132,0))</f>
        <v/>
      </c>
      <c r="L65" s="333" t="str">
        <f>IF(OR($A65="",TYPE(VLOOKUP($A65,Centrum!$D$3:$M$130,10,0))&gt;3),"",VLOOKUP(VLOOKUP($A65,Centrum!$D$3:$M$130,10,0),Centrum!$A$3:$CB$130,L$132,0))</f>
        <v/>
      </c>
      <c r="M65" s="333" t="str">
        <f>IF(OR($A65="",TYPE(VLOOKUP($A65,Centrum!$D$3:$M$130,10,0))&gt;3),"",VLOOKUP(VLOOKUP($A65,Centrum!$D$3:$M$130,10,0),Centrum!$A$3:$CB$130,M$132,0))</f>
        <v/>
      </c>
      <c r="N65" s="333" t="str">
        <f>IF(OR($A65="",TYPE(VLOOKUP($A65,Centrum!$D$3:$M$130,10,0))&gt;3),"",VLOOKUP(VLOOKUP($A65,Centrum!$D$3:$M$130,10,0),Centrum!$A$3:$CB$130,N$132,0))</f>
        <v/>
      </c>
      <c r="O65" s="333" t="str">
        <f>IF(OR($A65="",TYPE(VLOOKUP($A65,Centrum!$D$3:$M$130,10,0))&gt;3),"",VLOOKUP(VLOOKUP($A65,Centrum!$D$3:$M$130,10,0),Centrum!$A$3:$CB$130,O$132,0))</f>
        <v/>
      </c>
      <c r="P65" s="333" t="str">
        <f>IF(OR($A65="",TYPE(VLOOKUP($A65,Centrum!$D$3:$M$130,10,0))&gt;3),"",VLOOKUP(VLOOKUP($A65,Centrum!$D$3:$M$130,10,0),Centrum!$A$3:$CB$130,P$132,0))</f>
        <v/>
      </c>
      <c r="Q65" s="333" t="str">
        <f>IF(OR($A65="",TYPE(VLOOKUP($A65,Centrum!$D$3:$M$130,10,0))&gt;3),"",VLOOKUP(VLOOKUP($A65,Centrum!$D$3:$M$130,10,0),Centrum!$A$3:$CB$130,Q$132,0))</f>
        <v/>
      </c>
      <c r="S65" s="333" t="str">
        <f>IF(OR($A65="",TYPE(VLOOKUP($A65,Centrum!$D$3:$M$130,10,0))&gt;3),"",VLOOKUP(VLOOKUP($A65,Centrum!$D$3:$M$130,10,0),Centrum!$A$3:$CB$130,S$132,0))</f>
        <v/>
      </c>
      <c r="T65" s="333" t="str">
        <f>IF(OR($A65="",TYPE(VLOOKUP($A65,Centrum!$D$3:$M$130,10,0))&gt;3),"",VLOOKUP(VLOOKUP($A65,Centrum!$D$3:$M$130,10,0),Centrum!$A$3:$CB$130,T$132,0))</f>
        <v/>
      </c>
      <c r="U65" s="333" t="str">
        <f>IF(OR($A65="",TYPE(VLOOKUP($A65,Centrum!$D$3:$M$130,10,0))&gt;3),"",VLOOKUP(VLOOKUP($A65,Centrum!$D$3:$M$130,10,0),Centrum!$A$3:$CB$130,U$132,0))</f>
        <v/>
      </c>
      <c r="AB65" s="333" t="str">
        <f>IF(OR($A65="",TYPE(VLOOKUP($A65,Centrum!$D$3:$M$130,10,0))&gt;3),"",VLOOKUP(VLOOKUP($A65,Centrum!$D$3:$M$130,10,0),Centrum!$A$3:$CB$130,AB$132,0))</f>
        <v/>
      </c>
      <c r="AC65" s="333" t="str">
        <f>IF(OR($A65="",TYPE(VLOOKUP($A65,Centrum!$D$3:$M$130,10,0))&gt;3),"",VLOOKUP(VLOOKUP($A65,Centrum!$D$3:$M$130,10,0),Centrum!$A$3:$CB$130,AC$132,0))</f>
        <v/>
      </c>
      <c r="AD65" s="333" t="str">
        <f>IF(OR($A65="",TYPE(VLOOKUP($A65,Centrum!$D$3:$M$130,10,0))&gt;3),"",VLOOKUP(VLOOKUP($A65,Centrum!$D$3:$M$130,10,0),Centrum!$A$3:$CB$130,AD$132,0))</f>
        <v/>
      </c>
      <c r="AK65" s="333" t="str">
        <f>IF(OR($A65="",TYPE(VLOOKUP($A65,Centrum!$D$3:$M$130,10,0))&gt;3),"",VLOOKUP(VLOOKUP($A65,Centrum!$D$3:$M$130,10,0),Centrum!$A$3:$CB$130,AK$132,0))</f>
        <v/>
      </c>
      <c r="AL65" s="333" t="str">
        <f>IF(OR($A65="",TYPE(VLOOKUP($A65,Centrum!$D$3:$M$130,10,0))&gt;3),"",VLOOKUP(VLOOKUP($A65,Centrum!$D$3:$M$130,10,0),Centrum!$A$3:$CB$130,AL$132,0))</f>
        <v/>
      </c>
      <c r="AM65" s="333" t="str">
        <f>IF(OR($A65="",TYPE(VLOOKUP($A65,Centrum!$D$3:$M$130,10,0))&gt;3),"",VLOOKUP(VLOOKUP($A65,Centrum!$D$3:$M$130,10,0),Centrum!$A$3:$CB$130,AM$132,0))</f>
        <v/>
      </c>
      <c r="AT65" s="333" t="str">
        <f>IF(OR(OR($A65="",TYPE(VLOOKUP($A65,Centrum!$D$3:$M$130,10,0))&gt;3),$A$1&lt;4),"",VLOOKUP(VLOOKUP($A65,Centrum!$D$3:$M$130,10,0),Centrum!$A$3:$CB$130,AT$132,0))</f>
        <v/>
      </c>
      <c r="AU65" s="333" t="str">
        <f>IF(OR(OR($A65="",TYPE(VLOOKUP($A65,Centrum!$D$3:$M$130,10,0))&gt;3),$A$1&lt;4),"",VLOOKUP(VLOOKUP($A65,Centrum!$D$3:$M$130,10,0),Centrum!$A$3:$CB$130,AU$132,0))</f>
        <v/>
      </c>
      <c r="AV65" s="333" t="str">
        <f>IF(OR(OR($A65="",TYPE(VLOOKUP($A65,Centrum!$D$3:$M$130,10,0))&gt;3),$A$1&lt;4),"",VLOOKUP(VLOOKUP($A65,Centrum!$D$3:$M$130,10,0),Centrum!$A$3:$CB$130,AV$132,0))</f>
        <v/>
      </c>
      <c r="BC65" s="333" t="str">
        <f>IF(OR(OR($A65="",TYPE(VLOOKUP($A65,Centrum!$D$3:$M$130,10,0))&gt;3),$A$1&lt;5),"",VLOOKUP(VLOOKUP($A65,Centrum!$D$3:$M$130,10,0),Centrum!$A$3:$CB$130,BC$132,0))</f>
        <v/>
      </c>
      <c r="BD65" s="333" t="str">
        <f>IF(OR(OR($A65="",TYPE(VLOOKUP($A65,Centrum!$D$3:$M$130,10,0))&gt;3),$A$1&lt;5),"",VLOOKUP(VLOOKUP($A65,Centrum!$D$3:$M$130,10,0),Centrum!$A$3:$CB$130,BD$132,0))</f>
        <v/>
      </c>
      <c r="BE65" s="333" t="str">
        <f>IF(OR(OR($A65="",TYPE(VLOOKUP($A65,Centrum!$D$3:$M$130,10,0))&gt;3),$A$1&lt;5),"",VLOOKUP(VLOOKUP($A65,Centrum!$D$3:$M$130,10,0),Centrum!$A$3:$CB$130,BE$132,0))</f>
        <v/>
      </c>
      <c r="BL65" s="333" t="str">
        <f>IF(OR(OR($A65="",TYPE(VLOOKUP($A65,Centrum!$D$3:$M$130,10,0))&gt;3),$A$1&lt;6),"",VLOOKUP(VLOOKUP($A65,Centrum!$D$3:$M$130,10,0),Centrum!$A$3:$CB$130,BL$132,0))</f>
        <v/>
      </c>
      <c r="BM65" s="333" t="str">
        <f>IF(OR(OR($A65="",TYPE(VLOOKUP($A65,Centrum!$D$3:$M$130,10,0))&gt;3),$A$1&lt;6),"",VLOOKUP(VLOOKUP($A65,Centrum!$D$3:$M$130,10,0),Centrum!$A$3:$CB$130,BM$132,0))</f>
        <v/>
      </c>
      <c r="BN65" s="333" t="str">
        <f>IF(OR(OR($A65="",TYPE(VLOOKUP($A65,Centrum!$D$3:$M$130,10,0))&gt;3),$A$1&lt;6),"",VLOOKUP(VLOOKUP($A65,Centrum!$D$3:$M$130,10,0),Centrum!$A$3:$CB$130,BN$132,0))</f>
        <v/>
      </c>
    </row>
    <row r="66" spans="1:66" x14ac:dyDescent="0.25">
      <c r="A66" s="333" t="str">
        <f>Centrum!A66</f>
        <v/>
      </c>
      <c r="B66" s="439" t="str">
        <f>IF(OR($A66="",TYPE(VLOOKUP($A66,Centrum!$D$3:$M$130,10,0))&gt;3),"",VLOOKUP(VLOOKUP(A66,Centrum!$D$3:$M$130,10,0),Centrum!$A$3:$CB$130,B$132,0))</f>
        <v/>
      </c>
      <c r="C66" s="333" t="str">
        <f>IF(OR($A66="",TYPE(VLOOKUP($A66,Centrum!$D$3:$M$130,10,0))&gt;3),"",VLOOKUP($A66,Centrum!$D$3:$M$130,10,0))</f>
        <v/>
      </c>
      <c r="E66" s="333" t="str">
        <f>IF(OR($A66="",TYPE(VLOOKUP($A66,Centrum!$D$3:$M$130,10,0))&gt;3),"",VLOOKUP(VLOOKUP($A66,Centrum!$D$3:$M$130,10,0),Centrum!$A$3:$CB$130,E$132,0))</f>
        <v/>
      </c>
      <c r="F66" s="333" t="str">
        <f>IF(OR($A66="",TYPE(VLOOKUP($A66,Centrum!$D$3:$M$130,10,0))&gt;3),"",VLOOKUP(VLOOKUP($A66,Centrum!$D$3:$M$130,10,0),Centrum!$A$3:$CB$130,F$132,0))</f>
        <v/>
      </c>
      <c r="G66" s="333" t="str">
        <f>IF(OR($A66="",TYPE(VLOOKUP($A66,Centrum!$D$3:$M$130,10,0))&gt;3),"",VLOOKUP(VLOOKUP($A66,Centrum!$D$3:$M$130,10,0),Centrum!$A$3:$CB$130,G$132,0))</f>
        <v/>
      </c>
      <c r="H66" s="333" t="str">
        <f>IF($A66="","",VLOOKUP(VLOOKUP($A66,Centrum!$D$3:$M$130,10,0),Centrum!$A$3:$CB$130,H$132,0))</f>
        <v/>
      </c>
      <c r="I66" s="333" t="str">
        <f>IF($A66="","",VLOOKUP(VLOOKUP($A66,Centrum!$D$3:$M$130,10,0),Centrum!$A$3:$CB$130,I$132,0))</f>
        <v/>
      </c>
      <c r="J66" s="333" t="str">
        <f>IF(OR($A66="",TYPE(VLOOKUP($A66,Centrum!$D$3:$M$130,10,0))&gt;3),"",VLOOKUP(VLOOKUP($A66,Centrum!$D$3:$M$130,10,0),Centrum!$A$3:$CB$130,J$132,0))</f>
        <v/>
      </c>
      <c r="L66" s="333" t="str">
        <f>IF(OR($A66="",TYPE(VLOOKUP($A66,Centrum!$D$3:$M$130,10,0))&gt;3),"",VLOOKUP(VLOOKUP($A66,Centrum!$D$3:$M$130,10,0),Centrum!$A$3:$CB$130,L$132,0))</f>
        <v/>
      </c>
      <c r="M66" s="333" t="str">
        <f>IF(OR($A66="",TYPE(VLOOKUP($A66,Centrum!$D$3:$M$130,10,0))&gt;3),"",VLOOKUP(VLOOKUP($A66,Centrum!$D$3:$M$130,10,0),Centrum!$A$3:$CB$130,M$132,0))</f>
        <v/>
      </c>
      <c r="N66" s="333" t="str">
        <f>IF(OR($A66="",TYPE(VLOOKUP($A66,Centrum!$D$3:$M$130,10,0))&gt;3),"",VLOOKUP(VLOOKUP($A66,Centrum!$D$3:$M$130,10,0),Centrum!$A$3:$CB$130,N$132,0))</f>
        <v/>
      </c>
      <c r="O66" s="333" t="str">
        <f>IF(OR($A66="",TYPE(VLOOKUP($A66,Centrum!$D$3:$M$130,10,0))&gt;3),"",VLOOKUP(VLOOKUP($A66,Centrum!$D$3:$M$130,10,0),Centrum!$A$3:$CB$130,O$132,0))</f>
        <v/>
      </c>
      <c r="P66" s="333" t="str">
        <f>IF(OR($A66="",TYPE(VLOOKUP($A66,Centrum!$D$3:$M$130,10,0))&gt;3),"",VLOOKUP(VLOOKUP($A66,Centrum!$D$3:$M$130,10,0),Centrum!$A$3:$CB$130,P$132,0))</f>
        <v/>
      </c>
      <c r="Q66" s="333" t="str">
        <f>IF(OR($A66="",TYPE(VLOOKUP($A66,Centrum!$D$3:$M$130,10,0))&gt;3),"",VLOOKUP(VLOOKUP($A66,Centrum!$D$3:$M$130,10,0),Centrum!$A$3:$CB$130,Q$132,0))</f>
        <v/>
      </c>
      <c r="S66" s="333" t="str">
        <f>IF(OR($A66="",TYPE(VLOOKUP($A66,Centrum!$D$3:$M$130,10,0))&gt;3),"",VLOOKUP(VLOOKUP($A66,Centrum!$D$3:$M$130,10,0),Centrum!$A$3:$CB$130,S$132,0))</f>
        <v/>
      </c>
      <c r="T66" s="333" t="str">
        <f>IF(OR($A66="",TYPE(VLOOKUP($A66,Centrum!$D$3:$M$130,10,0))&gt;3),"",VLOOKUP(VLOOKUP($A66,Centrum!$D$3:$M$130,10,0),Centrum!$A$3:$CB$130,T$132,0))</f>
        <v/>
      </c>
      <c r="U66" s="333" t="str">
        <f>IF(OR($A66="",TYPE(VLOOKUP($A66,Centrum!$D$3:$M$130,10,0))&gt;3),"",VLOOKUP(VLOOKUP($A66,Centrum!$D$3:$M$130,10,0),Centrum!$A$3:$CB$130,U$132,0))</f>
        <v/>
      </c>
      <c r="AB66" s="333" t="str">
        <f>IF(OR($A66="",TYPE(VLOOKUP($A66,Centrum!$D$3:$M$130,10,0))&gt;3),"",VLOOKUP(VLOOKUP($A66,Centrum!$D$3:$M$130,10,0),Centrum!$A$3:$CB$130,AB$132,0))</f>
        <v/>
      </c>
      <c r="AC66" s="333" t="str">
        <f>IF(OR($A66="",TYPE(VLOOKUP($A66,Centrum!$D$3:$M$130,10,0))&gt;3),"",VLOOKUP(VLOOKUP($A66,Centrum!$D$3:$M$130,10,0),Centrum!$A$3:$CB$130,AC$132,0))</f>
        <v/>
      </c>
      <c r="AD66" s="333" t="str">
        <f>IF(OR($A66="",TYPE(VLOOKUP($A66,Centrum!$D$3:$M$130,10,0))&gt;3),"",VLOOKUP(VLOOKUP($A66,Centrum!$D$3:$M$130,10,0),Centrum!$A$3:$CB$130,AD$132,0))</f>
        <v/>
      </c>
      <c r="AK66" s="333" t="str">
        <f>IF(OR($A66="",TYPE(VLOOKUP($A66,Centrum!$D$3:$M$130,10,0))&gt;3),"",VLOOKUP(VLOOKUP($A66,Centrum!$D$3:$M$130,10,0),Centrum!$A$3:$CB$130,AK$132,0))</f>
        <v/>
      </c>
      <c r="AL66" s="333" t="str">
        <f>IF(OR($A66="",TYPE(VLOOKUP($A66,Centrum!$D$3:$M$130,10,0))&gt;3),"",VLOOKUP(VLOOKUP($A66,Centrum!$D$3:$M$130,10,0),Centrum!$A$3:$CB$130,AL$132,0))</f>
        <v/>
      </c>
      <c r="AM66" s="333" t="str">
        <f>IF(OR($A66="",TYPE(VLOOKUP($A66,Centrum!$D$3:$M$130,10,0))&gt;3),"",VLOOKUP(VLOOKUP($A66,Centrum!$D$3:$M$130,10,0),Centrum!$A$3:$CB$130,AM$132,0))</f>
        <v/>
      </c>
      <c r="AT66" s="333" t="str">
        <f>IF(OR(OR($A66="",TYPE(VLOOKUP($A66,Centrum!$D$3:$M$130,10,0))&gt;3),$A$1&lt;4),"",VLOOKUP(VLOOKUP($A66,Centrum!$D$3:$M$130,10,0),Centrum!$A$3:$CB$130,AT$132,0))</f>
        <v/>
      </c>
      <c r="AU66" s="333" t="str">
        <f>IF(OR(OR($A66="",TYPE(VLOOKUP($A66,Centrum!$D$3:$M$130,10,0))&gt;3),$A$1&lt;4),"",VLOOKUP(VLOOKUP($A66,Centrum!$D$3:$M$130,10,0),Centrum!$A$3:$CB$130,AU$132,0))</f>
        <v/>
      </c>
      <c r="AV66" s="333" t="str">
        <f>IF(OR(OR($A66="",TYPE(VLOOKUP($A66,Centrum!$D$3:$M$130,10,0))&gt;3),$A$1&lt;4),"",VLOOKUP(VLOOKUP($A66,Centrum!$D$3:$M$130,10,0),Centrum!$A$3:$CB$130,AV$132,0))</f>
        <v/>
      </c>
      <c r="BC66" s="333" t="str">
        <f>IF(OR(OR($A66="",TYPE(VLOOKUP($A66,Centrum!$D$3:$M$130,10,0))&gt;3),$A$1&lt;5),"",VLOOKUP(VLOOKUP($A66,Centrum!$D$3:$M$130,10,0),Centrum!$A$3:$CB$130,BC$132,0))</f>
        <v/>
      </c>
      <c r="BD66" s="333" t="str">
        <f>IF(OR(OR($A66="",TYPE(VLOOKUP($A66,Centrum!$D$3:$M$130,10,0))&gt;3),$A$1&lt;5),"",VLOOKUP(VLOOKUP($A66,Centrum!$D$3:$M$130,10,0),Centrum!$A$3:$CB$130,BD$132,0))</f>
        <v/>
      </c>
      <c r="BE66" s="333" t="str">
        <f>IF(OR(OR($A66="",TYPE(VLOOKUP($A66,Centrum!$D$3:$M$130,10,0))&gt;3),$A$1&lt;5),"",VLOOKUP(VLOOKUP($A66,Centrum!$D$3:$M$130,10,0),Centrum!$A$3:$CB$130,BE$132,0))</f>
        <v/>
      </c>
      <c r="BL66" s="333" t="str">
        <f>IF(OR(OR($A66="",TYPE(VLOOKUP($A66,Centrum!$D$3:$M$130,10,0))&gt;3),$A$1&lt;6),"",VLOOKUP(VLOOKUP($A66,Centrum!$D$3:$M$130,10,0),Centrum!$A$3:$CB$130,BL$132,0))</f>
        <v/>
      </c>
      <c r="BM66" s="333" t="str">
        <f>IF(OR(OR($A66="",TYPE(VLOOKUP($A66,Centrum!$D$3:$M$130,10,0))&gt;3),$A$1&lt;6),"",VLOOKUP(VLOOKUP($A66,Centrum!$D$3:$M$130,10,0),Centrum!$A$3:$CB$130,BM$132,0))</f>
        <v/>
      </c>
      <c r="BN66" s="333" t="str">
        <f>IF(OR(OR($A66="",TYPE(VLOOKUP($A66,Centrum!$D$3:$M$130,10,0))&gt;3),$A$1&lt;6),"",VLOOKUP(VLOOKUP($A66,Centrum!$D$3:$M$130,10,0),Centrum!$A$3:$CB$130,BN$132,0))</f>
        <v/>
      </c>
    </row>
    <row r="67" spans="1:66" x14ac:dyDescent="0.25">
      <c r="A67" s="333" t="str">
        <f>Centrum!A67</f>
        <v/>
      </c>
      <c r="B67" s="439" t="str">
        <f>IF(OR($A67="",TYPE(VLOOKUP($A67,Centrum!$D$3:$M$130,10,0))&gt;3),"",VLOOKUP(VLOOKUP(A67,Centrum!$D$3:$M$130,10,0),Centrum!$A$3:$CB$130,B$132,0))</f>
        <v/>
      </c>
      <c r="C67" s="333" t="str">
        <f>IF(OR($A67="",TYPE(VLOOKUP($A67,Centrum!$D$3:$M$130,10,0))&gt;3),"",VLOOKUP($A67,Centrum!$D$3:$M$130,10,0))</f>
        <v/>
      </c>
      <c r="E67" s="333" t="str">
        <f>IF(OR($A67="",TYPE(VLOOKUP($A67,Centrum!$D$3:$M$130,10,0))&gt;3),"",VLOOKUP(VLOOKUP($A67,Centrum!$D$3:$M$130,10,0),Centrum!$A$3:$CB$130,E$132,0))</f>
        <v/>
      </c>
      <c r="F67" s="333" t="str">
        <f>IF(OR($A67="",TYPE(VLOOKUP($A67,Centrum!$D$3:$M$130,10,0))&gt;3),"",VLOOKUP(VLOOKUP($A67,Centrum!$D$3:$M$130,10,0),Centrum!$A$3:$CB$130,F$132,0))</f>
        <v/>
      </c>
      <c r="G67" s="333" t="str">
        <f>IF(OR($A67="",TYPE(VLOOKUP($A67,Centrum!$D$3:$M$130,10,0))&gt;3),"",VLOOKUP(VLOOKUP($A67,Centrum!$D$3:$M$130,10,0),Centrum!$A$3:$CB$130,G$132,0))</f>
        <v/>
      </c>
      <c r="H67" s="333" t="str">
        <f>IF($A67="","",VLOOKUP(VLOOKUP($A67,Centrum!$D$3:$M$130,10,0),Centrum!$A$3:$CB$130,H$132,0))</f>
        <v/>
      </c>
      <c r="I67" s="333" t="str">
        <f>IF($A67="","",VLOOKUP(VLOOKUP($A67,Centrum!$D$3:$M$130,10,0),Centrum!$A$3:$CB$130,I$132,0))</f>
        <v/>
      </c>
      <c r="J67" s="333" t="str">
        <f>IF(OR($A67="",TYPE(VLOOKUP($A67,Centrum!$D$3:$M$130,10,0))&gt;3),"",VLOOKUP(VLOOKUP($A67,Centrum!$D$3:$M$130,10,0),Centrum!$A$3:$CB$130,J$132,0))</f>
        <v/>
      </c>
      <c r="L67" s="333" t="str">
        <f>IF(OR($A67="",TYPE(VLOOKUP($A67,Centrum!$D$3:$M$130,10,0))&gt;3),"",VLOOKUP(VLOOKUP($A67,Centrum!$D$3:$M$130,10,0),Centrum!$A$3:$CB$130,L$132,0))</f>
        <v/>
      </c>
      <c r="M67" s="333" t="str">
        <f>IF(OR($A67="",TYPE(VLOOKUP($A67,Centrum!$D$3:$M$130,10,0))&gt;3),"",VLOOKUP(VLOOKUP($A67,Centrum!$D$3:$M$130,10,0),Centrum!$A$3:$CB$130,M$132,0))</f>
        <v/>
      </c>
      <c r="N67" s="333" t="str">
        <f>IF(OR($A67="",TYPE(VLOOKUP($A67,Centrum!$D$3:$M$130,10,0))&gt;3),"",VLOOKUP(VLOOKUP($A67,Centrum!$D$3:$M$130,10,0),Centrum!$A$3:$CB$130,N$132,0))</f>
        <v/>
      </c>
      <c r="O67" s="333" t="str">
        <f>IF(OR($A67="",TYPE(VLOOKUP($A67,Centrum!$D$3:$M$130,10,0))&gt;3),"",VLOOKUP(VLOOKUP($A67,Centrum!$D$3:$M$130,10,0),Centrum!$A$3:$CB$130,O$132,0))</f>
        <v/>
      </c>
      <c r="P67" s="333" t="str">
        <f>IF(OR($A67="",TYPE(VLOOKUP($A67,Centrum!$D$3:$M$130,10,0))&gt;3),"",VLOOKUP(VLOOKUP($A67,Centrum!$D$3:$M$130,10,0),Centrum!$A$3:$CB$130,P$132,0))</f>
        <v/>
      </c>
      <c r="Q67" s="333" t="str">
        <f>IF(OR($A67="",TYPE(VLOOKUP($A67,Centrum!$D$3:$M$130,10,0))&gt;3),"",VLOOKUP(VLOOKUP($A67,Centrum!$D$3:$M$130,10,0),Centrum!$A$3:$CB$130,Q$132,0))</f>
        <v/>
      </c>
      <c r="S67" s="333" t="str">
        <f>IF(OR($A67="",TYPE(VLOOKUP($A67,Centrum!$D$3:$M$130,10,0))&gt;3),"",VLOOKUP(VLOOKUP($A67,Centrum!$D$3:$M$130,10,0),Centrum!$A$3:$CB$130,S$132,0))</f>
        <v/>
      </c>
      <c r="T67" s="333" t="str">
        <f>IF(OR($A67="",TYPE(VLOOKUP($A67,Centrum!$D$3:$M$130,10,0))&gt;3),"",VLOOKUP(VLOOKUP($A67,Centrum!$D$3:$M$130,10,0),Centrum!$A$3:$CB$130,T$132,0))</f>
        <v/>
      </c>
      <c r="U67" s="333" t="str">
        <f>IF(OR($A67="",TYPE(VLOOKUP($A67,Centrum!$D$3:$M$130,10,0))&gt;3),"",VLOOKUP(VLOOKUP($A67,Centrum!$D$3:$M$130,10,0),Centrum!$A$3:$CB$130,U$132,0))</f>
        <v/>
      </c>
      <c r="AB67" s="333" t="str">
        <f>IF(OR($A67="",TYPE(VLOOKUP($A67,Centrum!$D$3:$M$130,10,0))&gt;3),"",VLOOKUP(VLOOKUP($A67,Centrum!$D$3:$M$130,10,0),Centrum!$A$3:$CB$130,AB$132,0))</f>
        <v/>
      </c>
      <c r="AC67" s="333" t="str">
        <f>IF(OR($A67="",TYPE(VLOOKUP($A67,Centrum!$D$3:$M$130,10,0))&gt;3),"",VLOOKUP(VLOOKUP($A67,Centrum!$D$3:$M$130,10,0),Centrum!$A$3:$CB$130,AC$132,0))</f>
        <v/>
      </c>
      <c r="AD67" s="333" t="str">
        <f>IF(OR($A67="",TYPE(VLOOKUP($A67,Centrum!$D$3:$M$130,10,0))&gt;3),"",VLOOKUP(VLOOKUP($A67,Centrum!$D$3:$M$130,10,0),Centrum!$A$3:$CB$130,AD$132,0))</f>
        <v/>
      </c>
      <c r="AK67" s="333" t="str">
        <f>IF(OR($A67="",TYPE(VLOOKUP($A67,Centrum!$D$3:$M$130,10,0))&gt;3),"",VLOOKUP(VLOOKUP($A67,Centrum!$D$3:$M$130,10,0),Centrum!$A$3:$CB$130,AK$132,0))</f>
        <v/>
      </c>
      <c r="AL67" s="333" t="str">
        <f>IF(OR($A67="",TYPE(VLOOKUP($A67,Centrum!$D$3:$M$130,10,0))&gt;3),"",VLOOKUP(VLOOKUP($A67,Centrum!$D$3:$M$130,10,0),Centrum!$A$3:$CB$130,AL$132,0))</f>
        <v/>
      </c>
      <c r="AM67" s="333" t="str">
        <f>IF(OR($A67="",TYPE(VLOOKUP($A67,Centrum!$D$3:$M$130,10,0))&gt;3),"",VLOOKUP(VLOOKUP($A67,Centrum!$D$3:$M$130,10,0),Centrum!$A$3:$CB$130,AM$132,0))</f>
        <v/>
      </c>
      <c r="AT67" s="333" t="str">
        <f>IF(OR(OR($A67="",TYPE(VLOOKUP($A67,Centrum!$D$3:$M$130,10,0))&gt;3),$A$1&lt;4),"",VLOOKUP(VLOOKUP($A67,Centrum!$D$3:$M$130,10,0),Centrum!$A$3:$CB$130,AT$132,0))</f>
        <v/>
      </c>
      <c r="AU67" s="333" t="str">
        <f>IF(OR(OR($A67="",TYPE(VLOOKUP($A67,Centrum!$D$3:$M$130,10,0))&gt;3),$A$1&lt;4),"",VLOOKUP(VLOOKUP($A67,Centrum!$D$3:$M$130,10,0),Centrum!$A$3:$CB$130,AU$132,0))</f>
        <v/>
      </c>
      <c r="AV67" s="333" t="str">
        <f>IF(OR(OR($A67="",TYPE(VLOOKUP($A67,Centrum!$D$3:$M$130,10,0))&gt;3),$A$1&lt;4),"",VLOOKUP(VLOOKUP($A67,Centrum!$D$3:$M$130,10,0),Centrum!$A$3:$CB$130,AV$132,0))</f>
        <v/>
      </c>
      <c r="BC67" s="333" t="str">
        <f>IF(OR(OR($A67="",TYPE(VLOOKUP($A67,Centrum!$D$3:$M$130,10,0))&gt;3),$A$1&lt;5),"",VLOOKUP(VLOOKUP($A67,Centrum!$D$3:$M$130,10,0),Centrum!$A$3:$CB$130,BC$132,0))</f>
        <v/>
      </c>
      <c r="BD67" s="333" t="str">
        <f>IF(OR(OR($A67="",TYPE(VLOOKUP($A67,Centrum!$D$3:$M$130,10,0))&gt;3),$A$1&lt;5),"",VLOOKUP(VLOOKUP($A67,Centrum!$D$3:$M$130,10,0),Centrum!$A$3:$CB$130,BD$132,0))</f>
        <v/>
      </c>
      <c r="BE67" s="333" t="str">
        <f>IF(OR(OR($A67="",TYPE(VLOOKUP($A67,Centrum!$D$3:$M$130,10,0))&gt;3),$A$1&lt;5),"",VLOOKUP(VLOOKUP($A67,Centrum!$D$3:$M$130,10,0),Centrum!$A$3:$CB$130,BE$132,0))</f>
        <v/>
      </c>
      <c r="BL67" s="333" t="str">
        <f>IF(OR(OR($A67="",TYPE(VLOOKUP($A67,Centrum!$D$3:$M$130,10,0))&gt;3),$A$1&lt;6),"",VLOOKUP(VLOOKUP($A67,Centrum!$D$3:$M$130,10,0),Centrum!$A$3:$CB$130,BL$132,0))</f>
        <v/>
      </c>
      <c r="BM67" s="333" t="str">
        <f>IF(OR(OR($A67="",TYPE(VLOOKUP($A67,Centrum!$D$3:$M$130,10,0))&gt;3),$A$1&lt;6),"",VLOOKUP(VLOOKUP($A67,Centrum!$D$3:$M$130,10,0),Centrum!$A$3:$CB$130,BM$132,0))</f>
        <v/>
      </c>
      <c r="BN67" s="333" t="str">
        <f>IF(OR(OR($A67="",TYPE(VLOOKUP($A67,Centrum!$D$3:$M$130,10,0))&gt;3),$A$1&lt;6),"",VLOOKUP(VLOOKUP($A67,Centrum!$D$3:$M$130,10,0),Centrum!$A$3:$CB$130,BN$132,0))</f>
        <v/>
      </c>
    </row>
    <row r="68" spans="1:66" x14ac:dyDescent="0.25">
      <c r="A68" s="333" t="str">
        <f>Centrum!A68</f>
        <v/>
      </c>
      <c r="B68" s="439" t="str">
        <f>IF(OR($A68="",TYPE(VLOOKUP($A68,Centrum!$D$3:$M$130,10,0))&gt;3),"",VLOOKUP(VLOOKUP(A68,Centrum!$D$3:$M$130,10,0),Centrum!$A$3:$CB$130,B$132,0))</f>
        <v/>
      </c>
      <c r="C68" s="333" t="str">
        <f>IF(OR($A68="",TYPE(VLOOKUP($A68,Centrum!$D$3:$M$130,10,0))&gt;3),"",VLOOKUP($A68,Centrum!$D$3:$M$130,10,0))</f>
        <v/>
      </c>
      <c r="E68" s="333" t="str">
        <f>IF(OR($A68="",TYPE(VLOOKUP($A68,Centrum!$D$3:$M$130,10,0))&gt;3),"",VLOOKUP(VLOOKUP($A68,Centrum!$D$3:$M$130,10,0),Centrum!$A$3:$CB$130,E$132,0))</f>
        <v/>
      </c>
      <c r="F68" s="333" t="str">
        <f>IF(OR($A68="",TYPE(VLOOKUP($A68,Centrum!$D$3:$M$130,10,0))&gt;3),"",VLOOKUP(VLOOKUP($A68,Centrum!$D$3:$M$130,10,0),Centrum!$A$3:$CB$130,F$132,0))</f>
        <v/>
      </c>
      <c r="G68" s="333" t="str">
        <f>IF(OR($A68="",TYPE(VLOOKUP($A68,Centrum!$D$3:$M$130,10,0))&gt;3),"",VLOOKUP(VLOOKUP($A68,Centrum!$D$3:$M$130,10,0),Centrum!$A$3:$CB$130,G$132,0))</f>
        <v/>
      </c>
      <c r="H68" s="333" t="str">
        <f>IF($A68="","",VLOOKUP(VLOOKUP($A68,Centrum!$D$3:$M$130,10,0),Centrum!$A$3:$CB$130,H$132,0))</f>
        <v/>
      </c>
      <c r="I68" s="333" t="str">
        <f>IF($A68="","",VLOOKUP(VLOOKUP($A68,Centrum!$D$3:$M$130,10,0),Centrum!$A$3:$CB$130,I$132,0))</f>
        <v/>
      </c>
      <c r="J68" s="333" t="str">
        <f>IF(OR($A68="",TYPE(VLOOKUP($A68,Centrum!$D$3:$M$130,10,0))&gt;3),"",VLOOKUP(VLOOKUP($A68,Centrum!$D$3:$M$130,10,0),Centrum!$A$3:$CB$130,J$132,0))</f>
        <v/>
      </c>
      <c r="L68" s="333" t="str">
        <f>IF(OR($A68="",TYPE(VLOOKUP($A68,Centrum!$D$3:$M$130,10,0))&gt;3),"",VLOOKUP(VLOOKUP($A68,Centrum!$D$3:$M$130,10,0),Centrum!$A$3:$CB$130,L$132,0))</f>
        <v/>
      </c>
      <c r="M68" s="333" t="str">
        <f>IF(OR($A68="",TYPE(VLOOKUP($A68,Centrum!$D$3:$M$130,10,0))&gt;3),"",VLOOKUP(VLOOKUP($A68,Centrum!$D$3:$M$130,10,0),Centrum!$A$3:$CB$130,M$132,0))</f>
        <v/>
      </c>
      <c r="N68" s="333" t="str">
        <f>IF(OR($A68="",TYPE(VLOOKUP($A68,Centrum!$D$3:$M$130,10,0))&gt;3),"",VLOOKUP(VLOOKUP($A68,Centrum!$D$3:$M$130,10,0),Centrum!$A$3:$CB$130,N$132,0))</f>
        <v/>
      </c>
      <c r="O68" s="333" t="str">
        <f>IF(OR($A68="",TYPE(VLOOKUP($A68,Centrum!$D$3:$M$130,10,0))&gt;3),"",VLOOKUP(VLOOKUP($A68,Centrum!$D$3:$M$130,10,0),Centrum!$A$3:$CB$130,O$132,0))</f>
        <v/>
      </c>
      <c r="P68" s="333" t="str">
        <f>IF(OR($A68="",TYPE(VLOOKUP($A68,Centrum!$D$3:$M$130,10,0))&gt;3),"",VLOOKUP(VLOOKUP($A68,Centrum!$D$3:$M$130,10,0),Centrum!$A$3:$CB$130,P$132,0))</f>
        <v/>
      </c>
      <c r="Q68" s="333" t="str">
        <f>IF(OR($A68="",TYPE(VLOOKUP($A68,Centrum!$D$3:$M$130,10,0))&gt;3),"",VLOOKUP(VLOOKUP($A68,Centrum!$D$3:$M$130,10,0),Centrum!$A$3:$CB$130,Q$132,0))</f>
        <v/>
      </c>
      <c r="S68" s="333" t="str">
        <f>IF(OR($A68="",TYPE(VLOOKUP($A68,Centrum!$D$3:$M$130,10,0))&gt;3),"",VLOOKUP(VLOOKUP($A68,Centrum!$D$3:$M$130,10,0),Centrum!$A$3:$CB$130,S$132,0))</f>
        <v/>
      </c>
      <c r="T68" s="333" t="str">
        <f>IF(OR($A68="",TYPE(VLOOKUP($A68,Centrum!$D$3:$M$130,10,0))&gt;3),"",VLOOKUP(VLOOKUP($A68,Centrum!$D$3:$M$130,10,0),Centrum!$A$3:$CB$130,T$132,0))</f>
        <v/>
      </c>
      <c r="U68" s="333" t="str">
        <f>IF(OR($A68="",TYPE(VLOOKUP($A68,Centrum!$D$3:$M$130,10,0))&gt;3),"",VLOOKUP(VLOOKUP($A68,Centrum!$D$3:$M$130,10,0),Centrum!$A$3:$CB$130,U$132,0))</f>
        <v/>
      </c>
      <c r="AB68" s="333" t="str">
        <f>IF(OR($A68="",TYPE(VLOOKUP($A68,Centrum!$D$3:$M$130,10,0))&gt;3),"",VLOOKUP(VLOOKUP($A68,Centrum!$D$3:$M$130,10,0),Centrum!$A$3:$CB$130,AB$132,0))</f>
        <v/>
      </c>
      <c r="AC68" s="333" t="str">
        <f>IF(OR($A68="",TYPE(VLOOKUP($A68,Centrum!$D$3:$M$130,10,0))&gt;3),"",VLOOKUP(VLOOKUP($A68,Centrum!$D$3:$M$130,10,0),Centrum!$A$3:$CB$130,AC$132,0))</f>
        <v/>
      </c>
      <c r="AD68" s="333" t="str">
        <f>IF(OR($A68="",TYPE(VLOOKUP($A68,Centrum!$D$3:$M$130,10,0))&gt;3),"",VLOOKUP(VLOOKUP($A68,Centrum!$D$3:$M$130,10,0),Centrum!$A$3:$CB$130,AD$132,0))</f>
        <v/>
      </c>
      <c r="AK68" s="333" t="str">
        <f>IF(OR($A68="",TYPE(VLOOKUP($A68,Centrum!$D$3:$M$130,10,0))&gt;3),"",VLOOKUP(VLOOKUP($A68,Centrum!$D$3:$M$130,10,0),Centrum!$A$3:$CB$130,AK$132,0))</f>
        <v/>
      </c>
      <c r="AL68" s="333" t="str">
        <f>IF(OR($A68="",TYPE(VLOOKUP($A68,Centrum!$D$3:$M$130,10,0))&gt;3),"",VLOOKUP(VLOOKUP($A68,Centrum!$D$3:$M$130,10,0),Centrum!$A$3:$CB$130,AL$132,0))</f>
        <v/>
      </c>
      <c r="AM68" s="333" t="str">
        <f>IF(OR($A68="",TYPE(VLOOKUP($A68,Centrum!$D$3:$M$130,10,0))&gt;3),"",VLOOKUP(VLOOKUP($A68,Centrum!$D$3:$M$130,10,0),Centrum!$A$3:$CB$130,AM$132,0))</f>
        <v/>
      </c>
      <c r="AT68" s="333" t="str">
        <f>IF(OR(OR($A68="",TYPE(VLOOKUP($A68,Centrum!$D$3:$M$130,10,0))&gt;3),$A$1&lt;4),"",VLOOKUP(VLOOKUP($A68,Centrum!$D$3:$M$130,10,0),Centrum!$A$3:$CB$130,AT$132,0))</f>
        <v/>
      </c>
      <c r="AU68" s="333" t="str">
        <f>IF(OR(OR($A68="",TYPE(VLOOKUP($A68,Centrum!$D$3:$M$130,10,0))&gt;3),$A$1&lt;4),"",VLOOKUP(VLOOKUP($A68,Centrum!$D$3:$M$130,10,0),Centrum!$A$3:$CB$130,AU$132,0))</f>
        <v/>
      </c>
      <c r="AV68" s="333" t="str">
        <f>IF(OR(OR($A68="",TYPE(VLOOKUP($A68,Centrum!$D$3:$M$130,10,0))&gt;3),$A$1&lt;4),"",VLOOKUP(VLOOKUP($A68,Centrum!$D$3:$M$130,10,0),Centrum!$A$3:$CB$130,AV$132,0))</f>
        <v/>
      </c>
      <c r="BC68" s="333" t="str">
        <f>IF(OR(OR($A68="",TYPE(VLOOKUP($A68,Centrum!$D$3:$M$130,10,0))&gt;3),$A$1&lt;5),"",VLOOKUP(VLOOKUP($A68,Centrum!$D$3:$M$130,10,0),Centrum!$A$3:$CB$130,BC$132,0))</f>
        <v/>
      </c>
      <c r="BD68" s="333" t="str">
        <f>IF(OR(OR($A68="",TYPE(VLOOKUP($A68,Centrum!$D$3:$M$130,10,0))&gt;3),$A$1&lt;5),"",VLOOKUP(VLOOKUP($A68,Centrum!$D$3:$M$130,10,0),Centrum!$A$3:$CB$130,BD$132,0))</f>
        <v/>
      </c>
      <c r="BE68" s="333" t="str">
        <f>IF(OR(OR($A68="",TYPE(VLOOKUP($A68,Centrum!$D$3:$M$130,10,0))&gt;3),$A$1&lt;5),"",VLOOKUP(VLOOKUP($A68,Centrum!$D$3:$M$130,10,0),Centrum!$A$3:$CB$130,BE$132,0))</f>
        <v/>
      </c>
      <c r="BL68" s="333" t="str">
        <f>IF(OR(OR($A68="",TYPE(VLOOKUP($A68,Centrum!$D$3:$M$130,10,0))&gt;3),$A$1&lt;6),"",VLOOKUP(VLOOKUP($A68,Centrum!$D$3:$M$130,10,0),Centrum!$A$3:$CB$130,BL$132,0))</f>
        <v/>
      </c>
      <c r="BM68" s="333" t="str">
        <f>IF(OR(OR($A68="",TYPE(VLOOKUP($A68,Centrum!$D$3:$M$130,10,0))&gt;3),$A$1&lt;6),"",VLOOKUP(VLOOKUP($A68,Centrum!$D$3:$M$130,10,0),Centrum!$A$3:$CB$130,BM$132,0))</f>
        <v/>
      </c>
      <c r="BN68" s="333" t="str">
        <f>IF(OR(OR($A68="",TYPE(VLOOKUP($A68,Centrum!$D$3:$M$130,10,0))&gt;3),$A$1&lt;6),"",VLOOKUP(VLOOKUP($A68,Centrum!$D$3:$M$130,10,0),Centrum!$A$3:$CB$130,BN$132,0))</f>
        <v/>
      </c>
    </row>
    <row r="69" spans="1:66" x14ac:dyDescent="0.25">
      <c r="A69" s="333" t="str">
        <f>Centrum!A69</f>
        <v/>
      </c>
      <c r="B69" s="439" t="str">
        <f>IF(OR($A69="",TYPE(VLOOKUP($A69,Centrum!$D$3:$M$130,10,0))&gt;3),"",VLOOKUP(VLOOKUP(A69,Centrum!$D$3:$M$130,10,0),Centrum!$A$3:$CB$130,B$132,0))</f>
        <v/>
      </c>
      <c r="C69" s="333" t="str">
        <f>IF(OR($A69="",TYPE(VLOOKUP($A69,Centrum!$D$3:$M$130,10,0))&gt;3),"",VLOOKUP($A69,Centrum!$D$3:$M$130,10,0))</f>
        <v/>
      </c>
      <c r="E69" s="333" t="str">
        <f>IF(OR($A69="",TYPE(VLOOKUP($A69,Centrum!$D$3:$M$130,10,0))&gt;3),"",VLOOKUP(VLOOKUP($A69,Centrum!$D$3:$M$130,10,0),Centrum!$A$3:$CB$130,E$132,0))</f>
        <v/>
      </c>
      <c r="F69" s="333" t="str">
        <f>IF(OR($A69="",TYPE(VLOOKUP($A69,Centrum!$D$3:$M$130,10,0))&gt;3),"",VLOOKUP(VLOOKUP($A69,Centrum!$D$3:$M$130,10,0),Centrum!$A$3:$CB$130,F$132,0))</f>
        <v/>
      </c>
      <c r="G69" s="333" t="str">
        <f>IF(OR($A69="",TYPE(VLOOKUP($A69,Centrum!$D$3:$M$130,10,0))&gt;3),"",VLOOKUP(VLOOKUP($A69,Centrum!$D$3:$M$130,10,0),Centrum!$A$3:$CB$130,G$132,0))</f>
        <v/>
      </c>
      <c r="H69" s="333" t="str">
        <f>IF($A69="","",VLOOKUP(VLOOKUP($A69,Centrum!$D$3:$M$130,10,0),Centrum!$A$3:$CB$130,H$132,0))</f>
        <v/>
      </c>
      <c r="I69" s="333" t="str">
        <f>IF($A69="","",VLOOKUP(VLOOKUP($A69,Centrum!$D$3:$M$130,10,0),Centrum!$A$3:$CB$130,I$132,0))</f>
        <v/>
      </c>
      <c r="J69" s="333" t="str">
        <f>IF(OR($A69="",TYPE(VLOOKUP($A69,Centrum!$D$3:$M$130,10,0))&gt;3),"",VLOOKUP(VLOOKUP($A69,Centrum!$D$3:$M$130,10,0),Centrum!$A$3:$CB$130,J$132,0))</f>
        <v/>
      </c>
      <c r="L69" s="333" t="str">
        <f>IF(OR($A69="",TYPE(VLOOKUP($A69,Centrum!$D$3:$M$130,10,0))&gt;3),"",VLOOKUP(VLOOKUP($A69,Centrum!$D$3:$M$130,10,0),Centrum!$A$3:$CB$130,L$132,0))</f>
        <v/>
      </c>
      <c r="M69" s="333" t="str">
        <f>IF(OR($A69="",TYPE(VLOOKUP($A69,Centrum!$D$3:$M$130,10,0))&gt;3),"",VLOOKUP(VLOOKUP($A69,Centrum!$D$3:$M$130,10,0),Centrum!$A$3:$CB$130,M$132,0))</f>
        <v/>
      </c>
      <c r="N69" s="333" t="str">
        <f>IF(OR($A69="",TYPE(VLOOKUP($A69,Centrum!$D$3:$M$130,10,0))&gt;3),"",VLOOKUP(VLOOKUP($A69,Centrum!$D$3:$M$130,10,0),Centrum!$A$3:$CB$130,N$132,0))</f>
        <v/>
      </c>
      <c r="O69" s="333" t="str">
        <f>IF(OR($A69="",TYPE(VLOOKUP($A69,Centrum!$D$3:$M$130,10,0))&gt;3),"",VLOOKUP(VLOOKUP($A69,Centrum!$D$3:$M$130,10,0),Centrum!$A$3:$CB$130,O$132,0))</f>
        <v/>
      </c>
      <c r="P69" s="333" t="str">
        <f>IF(OR($A69="",TYPE(VLOOKUP($A69,Centrum!$D$3:$M$130,10,0))&gt;3),"",VLOOKUP(VLOOKUP($A69,Centrum!$D$3:$M$130,10,0),Centrum!$A$3:$CB$130,P$132,0))</f>
        <v/>
      </c>
      <c r="Q69" s="333" t="str">
        <f>IF(OR($A69="",TYPE(VLOOKUP($A69,Centrum!$D$3:$M$130,10,0))&gt;3),"",VLOOKUP(VLOOKUP($A69,Centrum!$D$3:$M$130,10,0),Centrum!$A$3:$CB$130,Q$132,0))</f>
        <v/>
      </c>
      <c r="S69" s="333" t="str">
        <f>IF(OR($A69="",TYPE(VLOOKUP($A69,Centrum!$D$3:$M$130,10,0))&gt;3),"",VLOOKUP(VLOOKUP($A69,Centrum!$D$3:$M$130,10,0),Centrum!$A$3:$CB$130,S$132,0))</f>
        <v/>
      </c>
      <c r="T69" s="333" t="str">
        <f>IF(OR($A69="",TYPE(VLOOKUP($A69,Centrum!$D$3:$M$130,10,0))&gt;3),"",VLOOKUP(VLOOKUP($A69,Centrum!$D$3:$M$130,10,0),Centrum!$A$3:$CB$130,T$132,0))</f>
        <v/>
      </c>
      <c r="U69" s="333" t="str">
        <f>IF(OR($A69="",TYPE(VLOOKUP($A69,Centrum!$D$3:$M$130,10,0))&gt;3),"",VLOOKUP(VLOOKUP($A69,Centrum!$D$3:$M$130,10,0),Centrum!$A$3:$CB$130,U$132,0))</f>
        <v/>
      </c>
      <c r="AB69" s="333" t="str">
        <f>IF(OR($A69="",TYPE(VLOOKUP($A69,Centrum!$D$3:$M$130,10,0))&gt;3),"",VLOOKUP(VLOOKUP($A69,Centrum!$D$3:$M$130,10,0),Centrum!$A$3:$CB$130,AB$132,0))</f>
        <v/>
      </c>
      <c r="AC69" s="333" t="str">
        <f>IF(OR($A69="",TYPE(VLOOKUP($A69,Centrum!$D$3:$M$130,10,0))&gt;3),"",VLOOKUP(VLOOKUP($A69,Centrum!$D$3:$M$130,10,0),Centrum!$A$3:$CB$130,AC$132,0))</f>
        <v/>
      </c>
      <c r="AD69" s="333" t="str">
        <f>IF(OR($A69="",TYPE(VLOOKUP($A69,Centrum!$D$3:$M$130,10,0))&gt;3),"",VLOOKUP(VLOOKUP($A69,Centrum!$D$3:$M$130,10,0),Centrum!$A$3:$CB$130,AD$132,0))</f>
        <v/>
      </c>
      <c r="AK69" s="333" t="str">
        <f>IF(OR($A69="",TYPE(VLOOKUP($A69,Centrum!$D$3:$M$130,10,0))&gt;3),"",VLOOKUP(VLOOKUP($A69,Centrum!$D$3:$M$130,10,0),Centrum!$A$3:$CB$130,AK$132,0))</f>
        <v/>
      </c>
      <c r="AL69" s="333" t="str">
        <f>IF(OR($A69="",TYPE(VLOOKUP($A69,Centrum!$D$3:$M$130,10,0))&gt;3),"",VLOOKUP(VLOOKUP($A69,Centrum!$D$3:$M$130,10,0),Centrum!$A$3:$CB$130,AL$132,0))</f>
        <v/>
      </c>
      <c r="AM69" s="333" t="str">
        <f>IF(OR($A69="",TYPE(VLOOKUP($A69,Centrum!$D$3:$M$130,10,0))&gt;3),"",VLOOKUP(VLOOKUP($A69,Centrum!$D$3:$M$130,10,0),Centrum!$A$3:$CB$130,AM$132,0))</f>
        <v/>
      </c>
      <c r="AT69" s="333" t="str">
        <f>IF(OR(OR($A69="",TYPE(VLOOKUP($A69,Centrum!$D$3:$M$130,10,0))&gt;3),$A$1&lt;4),"",VLOOKUP(VLOOKUP($A69,Centrum!$D$3:$M$130,10,0),Centrum!$A$3:$CB$130,AT$132,0))</f>
        <v/>
      </c>
      <c r="AU69" s="333" t="str">
        <f>IF(OR(OR($A69="",TYPE(VLOOKUP($A69,Centrum!$D$3:$M$130,10,0))&gt;3),$A$1&lt;4),"",VLOOKUP(VLOOKUP($A69,Centrum!$D$3:$M$130,10,0),Centrum!$A$3:$CB$130,AU$132,0))</f>
        <v/>
      </c>
      <c r="AV69" s="333" t="str">
        <f>IF(OR(OR($A69="",TYPE(VLOOKUP($A69,Centrum!$D$3:$M$130,10,0))&gt;3),$A$1&lt;4),"",VLOOKUP(VLOOKUP($A69,Centrum!$D$3:$M$130,10,0),Centrum!$A$3:$CB$130,AV$132,0))</f>
        <v/>
      </c>
      <c r="BC69" s="333" t="str">
        <f>IF(OR(OR($A69="",TYPE(VLOOKUP($A69,Centrum!$D$3:$M$130,10,0))&gt;3),$A$1&lt;5),"",VLOOKUP(VLOOKUP($A69,Centrum!$D$3:$M$130,10,0),Centrum!$A$3:$CB$130,BC$132,0))</f>
        <v/>
      </c>
      <c r="BD69" s="333" t="str">
        <f>IF(OR(OR($A69="",TYPE(VLOOKUP($A69,Centrum!$D$3:$M$130,10,0))&gt;3),$A$1&lt;5),"",VLOOKUP(VLOOKUP($A69,Centrum!$D$3:$M$130,10,0),Centrum!$A$3:$CB$130,BD$132,0))</f>
        <v/>
      </c>
      <c r="BE69" s="333" t="str">
        <f>IF(OR(OR($A69="",TYPE(VLOOKUP($A69,Centrum!$D$3:$M$130,10,0))&gt;3),$A$1&lt;5),"",VLOOKUP(VLOOKUP($A69,Centrum!$D$3:$M$130,10,0),Centrum!$A$3:$CB$130,BE$132,0))</f>
        <v/>
      </c>
      <c r="BL69" s="333" t="str">
        <f>IF(OR(OR($A69="",TYPE(VLOOKUP($A69,Centrum!$D$3:$M$130,10,0))&gt;3),$A$1&lt;6),"",VLOOKUP(VLOOKUP($A69,Centrum!$D$3:$M$130,10,0),Centrum!$A$3:$CB$130,BL$132,0))</f>
        <v/>
      </c>
      <c r="BM69" s="333" t="str">
        <f>IF(OR(OR($A69="",TYPE(VLOOKUP($A69,Centrum!$D$3:$M$130,10,0))&gt;3),$A$1&lt;6),"",VLOOKUP(VLOOKUP($A69,Centrum!$D$3:$M$130,10,0),Centrum!$A$3:$CB$130,BM$132,0))</f>
        <v/>
      </c>
      <c r="BN69" s="333" t="str">
        <f>IF(OR(OR($A69="",TYPE(VLOOKUP($A69,Centrum!$D$3:$M$130,10,0))&gt;3),$A$1&lt;6),"",VLOOKUP(VLOOKUP($A69,Centrum!$D$3:$M$130,10,0),Centrum!$A$3:$CB$130,BN$132,0))</f>
        <v/>
      </c>
    </row>
    <row r="70" spans="1:66" x14ac:dyDescent="0.25">
      <c r="A70" s="333" t="str">
        <f>Centrum!A70</f>
        <v/>
      </c>
      <c r="B70" s="439" t="str">
        <f>IF(OR($A70="",TYPE(VLOOKUP($A70,Centrum!$D$3:$M$130,10,0))&gt;3),"",VLOOKUP(VLOOKUP(A70,Centrum!$D$3:$M$130,10,0),Centrum!$A$3:$CB$130,B$132,0))</f>
        <v/>
      </c>
      <c r="C70" s="333" t="str">
        <f>IF(OR($A70="",TYPE(VLOOKUP($A70,Centrum!$D$3:$M$130,10,0))&gt;3),"",VLOOKUP($A70,Centrum!$D$3:$M$130,10,0))</f>
        <v/>
      </c>
      <c r="E70" s="333" t="str">
        <f>IF(OR($A70="",TYPE(VLOOKUP($A70,Centrum!$D$3:$M$130,10,0))&gt;3),"",VLOOKUP(VLOOKUP($A70,Centrum!$D$3:$M$130,10,0),Centrum!$A$3:$CB$130,E$132,0))</f>
        <v/>
      </c>
      <c r="F70" s="333" t="str">
        <f>IF(OR($A70="",TYPE(VLOOKUP($A70,Centrum!$D$3:$M$130,10,0))&gt;3),"",VLOOKUP(VLOOKUP($A70,Centrum!$D$3:$M$130,10,0),Centrum!$A$3:$CB$130,F$132,0))</f>
        <v/>
      </c>
      <c r="G70" s="333" t="str">
        <f>IF(OR($A70="",TYPE(VLOOKUP($A70,Centrum!$D$3:$M$130,10,0))&gt;3),"",VLOOKUP(VLOOKUP($A70,Centrum!$D$3:$M$130,10,0),Centrum!$A$3:$CB$130,G$132,0))</f>
        <v/>
      </c>
      <c r="H70" s="333" t="str">
        <f>IF($A70="","",VLOOKUP(VLOOKUP($A70,Centrum!$D$3:$M$130,10,0),Centrum!$A$3:$CB$130,H$132,0))</f>
        <v/>
      </c>
      <c r="I70" s="333" t="str">
        <f>IF($A70="","",VLOOKUP(VLOOKUP($A70,Centrum!$D$3:$M$130,10,0),Centrum!$A$3:$CB$130,I$132,0))</f>
        <v/>
      </c>
      <c r="J70" s="333" t="str">
        <f>IF(OR($A70="",TYPE(VLOOKUP($A70,Centrum!$D$3:$M$130,10,0))&gt;3),"",VLOOKUP(VLOOKUP($A70,Centrum!$D$3:$M$130,10,0),Centrum!$A$3:$CB$130,J$132,0))</f>
        <v/>
      </c>
      <c r="L70" s="333" t="str">
        <f>IF(OR($A70="",TYPE(VLOOKUP($A70,Centrum!$D$3:$M$130,10,0))&gt;3),"",VLOOKUP(VLOOKUP($A70,Centrum!$D$3:$M$130,10,0),Centrum!$A$3:$CB$130,L$132,0))</f>
        <v/>
      </c>
      <c r="M70" s="333" t="str">
        <f>IF(OR($A70="",TYPE(VLOOKUP($A70,Centrum!$D$3:$M$130,10,0))&gt;3),"",VLOOKUP(VLOOKUP($A70,Centrum!$D$3:$M$130,10,0),Centrum!$A$3:$CB$130,M$132,0))</f>
        <v/>
      </c>
      <c r="N70" s="333" t="str">
        <f>IF(OR($A70="",TYPE(VLOOKUP($A70,Centrum!$D$3:$M$130,10,0))&gt;3),"",VLOOKUP(VLOOKUP($A70,Centrum!$D$3:$M$130,10,0),Centrum!$A$3:$CB$130,N$132,0))</f>
        <v/>
      </c>
      <c r="O70" s="333" t="str">
        <f>IF(OR($A70="",TYPE(VLOOKUP($A70,Centrum!$D$3:$M$130,10,0))&gt;3),"",VLOOKUP(VLOOKUP($A70,Centrum!$D$3:$M$130,10,0),Centrum!$A$3:$CB$130,O$132,0))</f>
        <v/>
      </c>
      <c r="P70" s="333" t="str">
        <f>IF(OR($A70="",TYPE(VLOOKUP($A70,Centrum!$D$3:$M$130,10,0))&gt;3),"",VLOOKUP(VLOOKUP($A70,Centrum!$D$3:$M$130,10,0),Centrum!$A$3:$CB$130,P$132,0))</f>
        <v/>
      </c>
      <c r="Q70" s="333" t="str">
        <f>IF(OR($A70="",TYPE(VLOOKUP($A70,Centrum!$D$3:$M$130,10,0))&gt;3),"",VLOOKUP(VLOOKUP($A70,Centrum!$D$3:$M$130,10,0),Centrum!$A$3:$CB$130,Q$132,0))</f>
        <v/>
      </c>
      <c r="S70" s="333" t="str">
        <f>IF(OR($A70="",TYPE(VLOOKUP($A70,Centrum!$D$3:$M$130,10,0))&gt;3),"",VLOOKUP(VLOOKUP($A70,Centrum!$D$3:$M$130,10,0),Centrum!$A$3:$CB$130,S$132,0))</f>
        <v/>
      </c>
      <c r="T70" s="333" t="str">
        <f>IF(OR($A70="",TYPE(VLOOKUP($A70,Centrum!$D$3:$M$130,10,0))&gt;3),"",VLOOKUP(VLOOKUP($A70,Centrum!$D$3:$M$130,10,0),Centrum!$A$3:$CB$130,T$132,0))</f>
        <v/>
      </c>
      <c r="U70" s="333" t="str">
        <f>IF(OR($A70="",TYPE(VLOOKUP($A70,Centrum!$D$3:$M$130,10,0))&gt;3),"",VLOOKUP(VLOOKUP($A70,Centrum!$D$3:$M$130,10,0),Centrum!$A$3:$CB$130,U$132,0))</f>
        <v/>
      </c>
      <c r="AB70" s="333" t="str">
        <f>IF(OR($A70="",TYPE(VLOOKUP($A70,Centrum!$D$3:$M$130,10,0))&gt;3),"",VLOOKUP(VLOOKUP($A70,Centrum!$D$3:$M$130,10,0),Centrum!$A$3:$CB$130,AB$132,0))</f>
        <v/>
      </c>
      <c r="AC70" s="333" t="str">
        <f>IF(OR($A70="",TYPE(VLOOKUP($A70,Centrum!$D$3:$M$130,10,0))&gt;3),"",VLOOKUP(VLOOKUP($A70,Centrum!$D$3:$M$130,10,0),Centrum!$A$3:$CB$130,AC$132,0))</f>
        <v/>
      </c>
      <c r="AD70" s="333" t="str">
        <f>IF(OR($A70="",TYPE(VLOOKUP($A70,Centrum!$D$3:$M$130,10,0))&gt;3),"",VLOOKUP(VLOOKUP($A70,Centrum!$D$3:$M$130,10,0),Centrum!$A$3:$CB$130,AD$132,0))</f>
        <v/>
      </c>
      <c r="AK70" s="333" t="str">
        <f>IF(OR($A70="",TYPE(VLOOKUP($A70,Centrum!$D$3:$M$130,10,0))&gt;3),"",VLOOKUP(VLOOKUP($A70,Centrum!$D$3:$M$130,10,0),Centrum!$A$3:$CB$130,AK$132,0))</f>
        <v/>
      </c>
      <c r="AL70" s="333" t="str">
        <f>IF(OR($A70="",TYPE(VLOOKUP($A70,Centrum!$D$3:$M$130,10,0))&gt;3),"",VLOOKUP(VLOOKUP($A70,Centrum!$D$3:$M$130,10,0),Centrum!$A$3:$CB$130,AL$132,0))</f>
        <v/>
      </c>
      <c r="AM70" s="333" t="str">
        <f>IF(OR($A70="",TYPE(VLOOKUP($A70,Centrum!$D$3:$M$130,10,0))&gt;3),"",VLOOKUP(VLOOKUP($A70,Centrum!$D$3:$M$130,10,0),Centrum!$A$3:$CB$130,AM$132,0))</f>
        <v/>
      </c>
      <c r="AT70" s="333" t="str">
        <f>IF(OR(OR($A70="",TYPE(VLOOKUP($A70,Centrum!$D$3:$M$130,10,0))&gt;3),$A$1&lt;4),"",VLOOKUP(VLOOKUP($A70,Centrum!$D$3:$M$130,10,0),Centrum!$A$3:$CB$130,AT$132,0))</f>
        <v/>
      </c>
      <c r="AU70" s="333" t="str">
        <f>IF(OR(OR($A70="",TYPE(VLOOKUP($A70,Centrum!$D$3:$M$130,10,0))&gt;3),$A$1&lt;4),"",VLOOKUP(VLOOKUP($A70,Centrum!$D$3:$M$130,10,0),Centrum!$A$3:$CB$130,AU$132,0))</f>
        <v/>
      </c>
      <c r="AV70" s="333" t="str">
        <f>IF(OR(OR($A70="",TYPE(VLOOKUP($A70,Centrum!$D$3:$M$130,10,0))&gt;3),$A$1&lt;4),"",VLOOKUP(VLOOKUP($A70,Centrum!$D$3:$M$130,10,0),Centrum!$A$3:$CB$130,AV$132,0))</f>
        <v/>
      </c>
      <c r="BC70" s="333" t="str">
        <f>IF(OR(OR($A70="",TYPE(VLOOKUP($A70,Centrum!$D$3:$M$130,10,0))&gt;3),$A$1&lt;5),"",VLOOKUP(VLOOKUP($A70,Centrum!$D$3:$M$130,10,0),Centrum!$A$3:$CB$130,BC$132,0))</f>
        <v/>
      </c>
      <c r="BD70" s="333" t="str">
        <f>IF(OR(OR($A70="",TYPE(VLOOKUP($A70,Centrum!$D$3:$M$130,10,0))&gt;3),$A$1&lt;5),"",VLOOKUP(VLOOKUP($A70,Centrum!$D$3:$M$130,10,0),Centrum!$A$3:$CB$130,BD$132,0))</f>
        <v/>
      </c>
      <c r="BE70" s="333" t="str">
        <f>IF(OR(OR($A70="",TYPE(VLOOKUP($A70,Centrum!$D$3:$M$130,10,0))&gt;3),$A$1&lt;5),"",VLOOKUP(VLOOKUP($A70,Centrum!$D$3:$M$130,10,0),Centrum!$A$3:$CB$130,BE$132,0))</f>
        <v/>
      </c>
      <c r="BL70" s="333" t="str">
        <f>IF(OR(OR($A70="",TYPE(VLOOKUP($A70,Centrum!$D$3:$M$130,10,0))&gt;3),$A$1&lt;6),"",VLOOKUP(VLOOKUP($A70,Centrum!$D$3:$M$130,10,0),Centrum!$A$3:$CB$130,BL$132,0))</f>
        <v/>
      </c>
      <c r="BM70" s="333" t="str">
        <f>IF(OR(OR($A70="",TYPE(VLOOKUP($A70,Centrum!$D$3:$M$130,10,0))&gt;3),$A$1&lt;6),"",VLOOKUP(VLOOKUP($A70,Centrum!$D$3:$M$130,10,0),Centrum!$A$3:$CB$130,BM$132,0))</f>
        <v/>
      </c>
      <c r="BN70" s="333" t="str">
        <f>IF(OR(OR($A70="",TYPE(VLOOKUP($A70,Centrum!$D$3:$M$130,10,0))&gt;3),$A$1&lt;6),"",VLOOKUP(VLOOKUP($A70,Centrum!$D$3:$M$130,10,0),Centrum!$A$3:$CB$130,BN$132,0))</f>
        <v/>
      </c>
    </row>
    <row r="71" spans="1:66" x14ac:dyDescent="0.25">
      <c r="A71" s="333" t="str">
        <f>Centrum!A71</f>
        <v/>
      </c>
      <c r="B71" s="439" t="str">
        <f>IF(OR($A71="",TYPE(VLOOKUP($A71,Centrum!$D$3:$M$130,10,0))&gt;3),"",VLOOKUP(VLOOKUP(A71,Centrum!$D$3:$M$130,10,0),Centrum!$A$3:$CB$130,B$132,0))</f>
        <v/>
      </c>
      <c r="C71" s="333" t="str">
        <f>IF(OR($A71="",TYPE(VLOOKUP($A71,Centrum!$D$3:$M$130,10,0))&gt;3),"",VLOOKUP($A71,Centrum!$D$3:$M$130,10,0))</f>
        <v/>
      </c>
      <c r="E71" s="333" t="str">
        <f>IF(OR($A71="",TYPE(VLOOKUP($A71,Centrum!$D$3:$M$130,10,0))&gt;3),"",VLOOKUP(VLOOKUP($A71,Centrum!$D$3:$M$130,10,0),Centrum!$A$3:$CB$130,E$132,0))</f>
        <v/>
      </c>
      <c r="F71" s="333" t="str">
        <f>IF(OR($A71="",TYPE(VLOOKUP($A71,Centrum!$D$3:$M$130,10,0))&gt;3),"",VLOOKUP(VLOOKUP($A71,Centrum!$D$3:$M$130,10,0),Centrum!$A$3:$CB$130,F$132,0))</f>
        <v/>
      </c>
      <c r="G71" s="333" t="str">
        <f>IF(OR($A71="",TYPE(VLOOKUP($A71,Centrum!$D$3:$M$130,10,0))&gt;3),"",VLOOKUP(VLOOKUP($A71,Centrum!$D$3:$M$130,10,0),Centrum!$A$3:$CB$130,G$132,0))</f>
        <v/>
      </c>
      <c r="H71" s="333" t="str">
        <f>IF($A71="","",VLOOKUP(VLOOKUP($A71,Centrum!$D$3:$M$130,10,0),Centrum!$A$3:$CB$130,H$132,0))</f>
        <v/>
      </c>
      <c r="I71" s="333" t="str">
        <f>IF($A71="","",VLOOKUP(VLOOKUP($A71,Centrum!$D$3:$M$130,10,0),Centrum!$A$3:$CB$130,I$132,0))</f>
        <v/>
      </c>
      <c r="J71" s="333" t="str">
        <f>IF(OR($A71="",TYPE(VLOOKUP($A71,Centrum!$D$3:$M$130,10,0))&gt;3),"",VLOOKUP(VLOOKUP($A71,Centrum!$D$3:$M$130,10,0),Centrum!$A$3:$CB$130,J$132,0))</f>
        <v/>
      </c>
      <c r="L71" s="333" t="str">
        <f>IF(OR($A71="",TYPE(VLOOKUP($A71,Centrum!$D$3:$M$130,10,0))&gt;3),"",VLOOKUP(VLOOKUP($A71,Centrum!$D$3:$M$130,10,0),Centrum!$A$3:$CB$130,L$132,0))</f>
        <v/>
      </c>
      <c r="M71" s="333" t="str">
        <f>IF(OR($A71="",TYPE(VLOOKUP($A71,Centrum!$D$3:$M$130,10,0))&gt;3),"",VLOOKUP(VLOOKUP($A71,Centrum!$D$3:$M$130,10,0),Centrum!$A$3:$CB$130,M$132,0))</f>
        <v/>
      </c>
      <c r="N71" s="333" t="str">
        <f>IF(OR($A71="",TYPE(VLOOKUP($A71,Centrum!$D$3:$M$130,10,0))&gt;3),"",VLOOKUP(VLOOKUP($A71,Centrum!$D$3:$M$130,10,0),Centrum!$A$3:$CB$130,N$132,0))</f>
        <v/>
      </c>
      <c r="O71" s="333" t="str">
        <f>IF(OR($A71="",TYPE(VLOOKUP($A71,Centrum!$D$3:$M$130,10,0))&gt;3),"",VLOOKUP(VLOOKUP($A71,Centrum!$D$3:$M$130,10,0),Centrum!$A$3:$CB$130,O$132,0))</f>
        <v/>
      </c>
      <c r="P71" s="333" t="str">
        <f>IF(OR($A71="",TYPE(VLOOKUP($A71,Centrum!$D$3:$M$130,10,0))&gt;3),"",VLOOKUP(VLOOKUP($A71,Centrum!$D$3:$M$130,10,0),Centrum!$A$3:$CB$130,P$132,0))</f>
        <v/>
      </c>
      <c r="Q71" s="333" t="str">
        <f>IF(OR($A71="",TYPE(VLOOKUP($A71,Centrum!$D$3:$M$130,10,0))&gt;3),"",VLOOKUP(VLOOKUP($A71,Centrum!$D$3:$M$130,10,0),Centrum!$A$3:$CB$130,Q$132,0))</f>
        <v/>
      </c>
      <c r="S71" s="333" t="str">
        <f>IF(OR($A71="",TYPE(VLOOKUP($A71,Centrum!$D$3:$M$130,10,0))&gt;3),"",VLOOKUP(VLOOKUP($A71,Centrum!$D$3:$M$130,10,0),Centrum!$A$3:$CB$130,S$132,0))</f>
        <v/>
      </c>
      <c r="T71" s="333" t="str">
        <f>IF(OR($A71="",TYPE(VLOOKUP($A71,Centrum!$D$3:$M$130,10,0))&gt;3),"",VLOOKUP(VLOOKUP($A71,Centrum!$D$3:$M$130,10,0),Centrum!$A$3:$CB$130,T$132,0))</f>
        <v/>
      </c>
      <c r="U71" s="333" t="str">
        <f>IF(OR($A71="",TYPE(VLOOKUP($A71,Centrum!$D$3:$M$130,10,0))&gt;3),"",VLOOKUP(VLOOKUP($A71,Centrum!$D$3:$M$130,10,0),Centrum!$A$3:$CB$130,U$132,0))</f>
        <v/>
      </c>
      <c r="AB71" s="333" t="str">
        <f>IF(OR($A71="",TYPE(VLOOKUP($A71,Centrum!$D$3:$M$130,10,0))&gt;3),"",VLOOKUP(VLOOKUP($A71,Centrum!$D$3:$M$130,10,0),Centrum!$A$3:$CB$130,AB$132,0))</f>
        <v/>
      </c>
      <c r="AC71" s="333" t="str">
        <f>IF(OR($A71="",TYPE(VLOOKUP($A71,Centrum!$D$3:$M$130,10,0))&gt;3),"",VLOOKUP(VLOOKUP($A71,Centrum!$D$3:$M$130,10,0),Centrum!$A$3:$CB$130,AC$132,0))</f>
        <v/>
      </c>
      <c r="AD71" s="333" t="str">
        <f>IF(OR($A71="",TYPE(VLOOKUP($A71,Centrum!$D$3:$M$130,10,0))&gt;3),"",VLOOKUP(VLOOKUP($A71,Centrum!$D$3:$M$130,10,0),Centrum!$A$3:$CB$130,AD$132,0))</f>
        <v/>
      </c>
      <c r="AK71" s="333" t="str">
        <f>IF(OR($A71="",TYPE(VLOOKUP($A71,Centrum!$D$3:$M$130,10,0))&gt;3),"",VLOOKUP(VLOOKUP($A71,Centrum!$D$3:$M$130,10,0),Centrum!$A$3:$CB$130,AK$132,0))</f>
        <v/>
      </c>
      <c r="AL71" s="333" t="str">
        <f>IF(OR($A71="",TYPE(VLOOKUP($A71,Centrum!$D$3:$M$130,10,0))&gt;3),"",VLOOKUP(VLOOKUP($A71,Centrum!$D$3:$M$130,10,0),Centrum!$A$3:$CB$130,AL$132,0))</f>
        <v/>
      </c>
      <c r="AM71" s="333" t="str">
        <f>IF(OR($A71="",TYPE(VLOOKUP($A71,Centrum!$D$3:$M$130,10,0))&gt;3),"",VLOOKUP(VLOOKUP($A71,Centrum!$D$3:$M$130,10,0),Centrum!$A$3:$CB$130,AM$132,0))</f>
        <v/>
      </c>
      <c r="AT71" s="333" t="str">
        <f>IF(OR(OR($A71="",TYPE(VLOOKUP($A71,Centrum!$D$3:$M$130,10,0))&gt;3),$A$1&lt;4),"",VLOOKUP(VLOOKUP($A71,Centrum!$D$3:$M$130,10,0),Centrum!$A$3:$CB$130,AT$132,0))</f>
        <v/>
      </c>
      <c r="AU71" s="333" t="str">
        <f>IF(OR(OR($A71="",TYPE(VLOOKUP($A71,Centrum!$D$3:$M$130,10,0))&gt;3),$A$1&lt;4),"",VLOOKUP(VLOOKUP($A71,Centrum!$D$3:$M$130,10,0),Centrum!$A$3:$CB$130,AU$132,0))</f>
        <v/>
      </c>
      <c r="AV71" s="333" t="str">
        <f>IF(OR(OR($A71="",TYPE(VLOOKUP($A71,Centrum!$D$3:$M$130,10,0))&gt;3),$A$1&lt;4),"",VLOOKUP(VLOOKUP($A71,Centrum!$D$3:$M$130,10,0),Centrum!$A$3:$CB$130,AV$132,0))</f>
        <v/>
      </c>
      <c r="BC71" s="333" t="str">
        <f>IF(OR(OR($A71="",TYPE(VLOOKUP($A71,Centrum!$D$3:$M$130,10,0))&gt;3),$A$1&lt;5),"",VLOOKUP(VLOOKUP($A71,Centrum!$D$3:$M$130,10,0),Centrum!$A$3:$CB$130,BC$132,0))</f>
        <v/>
      </c>
      <c r="BD71" s="333" t="str">
        <f>IF(OR(OR($A71="",TYPE(VLOOKUP($A71,Centrum!$D$3:$M$130,10,0))&gt;3),$A$1&lt;5),"",VLOOKUP(VLOOKUP($A71,Centrum!$D$3:$M$130,10,0),Centrum!$A$3:$CB$130,BD$132,0))</f>
        <v/>
      </c>
      <c r="BE71" s="333" t="str">
        <f>IF(OR(OR($A71="",TYPE(VLOOKUP($A71,Centrum!$D$3:$M$130,10,0))&gt;3),$A$1&lt;5),"",VLOOKUP(VLOOKUP($A71,Centrum!$D$3:$M$130,10,0),Centrum!$A$3:$CB$130,BE$132,0))</f>
        <v/>
      </c>
      <c r="BL71" s="333" t="str">
        <f>IF(OR(OR($A71="",TYPE(VLOOKUP($A71,Centrum!$D$3:$M$130,10,0))&gt;3),$A$1&lt;6),"",VLOOKUP(VLOOKUP($A71,Centrum!$D$3:$M$130,10,0),Centrum!$A$3:$CB$130,BL$132,0))</f>
        <v/>
      </c>
      <c r="BM71" s="333" t="str">
        <f>IF(OR(OR($A71="",TYPE(VLOOKUP($A71,Centrum!$D$3:$M$130,10,0))&gt;3),$A$1&lt;6),"",VLOOKUP(VLOOKUP($A71,Centrum!$D$3:$M$130,10,0),Centrum!$A$3:$CB$130,BM$132,0))</f>
        <v/>
      </c>
      <c r="BN71" s="333" t="str">
        <f>IF(OR(OR($A71="",TYPE(VLOOKUP($A71,Centrum!$D$3:$M$130,10,0))&gt;3),$A$1&lt;6),"",VLOOKUP(VLOOKUP($A71,Centrum!$D$3:$M$130,10,0),Centrum!$A$3:$CB$130,BN$132,0))</f>
        <v/>
      </c>
    </row>
    <row r="72" spans="1:66" x14ac:dyDescent="0.25">
      <c r="A72" s="333" t="str">
        <f>Centrum!A72</f>
        <v/>
      </c>
      <c r="B72" s="439" t="str">
        <f>IF(OR($A72="",TYPE(VLOOKUP($A72,Centrum!$D$3:$M$130,10,0))&gt;3),"",VLOOKUP(VLOOKUP(A72,Centrum!$D$3:$M$130,10,0),Centrum!$A$3:$CB$130,B$132,0))</f>
        <v/>
      </c>
      <c r="C72" s="333" t="str">
        <f>IF(OR($A72="",TYPE(VLOOKUP($A72,Centrum!$D$3:$M$130,10,0))&gt;3),"",VLOOKUP($A72,Centrum!$D$3:$M$130,10,0))</f>
        <v/>
      </c>
      <c r="E72" s="333" t="str">
        <f>IF(OR($A72="",TYPE(VLOOKUP($A72,Centrum!$D$3:$M$130,10,0))&gt;3),"",VLOOKUP(VLOOKUP($A72,Centrum!$D$3:$M$130,10,0),Centrum!$A$3:$CB$130,E$132,0))</f>
        <v/>
      </c>
      <c r="F72" s="333" t="str">
        <f>IF(OR($A72="",TYPE(VLOOKUP($A72,Centrum!$D$3:$M$130,10,0))&gt;3),"",VLOOKUP(VLOOKUP($A72,Centrum!$D$3:$M$130,10,0),Centrum!$A$3:$CB$130,F$132,0))</f>
        <v/>
      </c>
      <c r="G72" s="333" t="str">
        <f>IF(OR($A72="",TYPE(VLOOKUP($A72,Centrum!$D$3:$M$130,10,0))&gt;3),"",VLOOKUP(VLOOKUP($A72,Centrum!$D$3:$M$130,10,0),Centrum!$A$3:$CB$130,G$132,0))</f>
        <v/>
      </c>
      <c r="H72" s="333" t="str">
        <f>IF($A72="","",VLOOKUP(VLOOKUP($A72,Centrum!$D$3:$M$130,10,0),Centrum!$A$3:$CB$130,H$132,0))</f>
        <v/>
      </c>
      <c r="I72" s="333" t="str">
        <f>IF($A72="","",VLOOKUP(VLOOKUP($A72,Centrum!$D$3:$M$130,10,0),Centrum!$A$3:$CB$130,I$132,0))</f>
        <v/>
      </c>
      <c r="J72" s="333" t="str">
        <f>IF(OR($A72="",TYPE(VLOOKUP($A72,Centrum!$D$3:$M$130,10,0))&gt;3),"",VLOOKUP(VLOOKUP($A72,Centrum!$D$3:$M$130,10,0),Centrum!$A$3:$CB$130,J$132,0))</f>
        <v/>
      </c>
      <c r="L72" s="333" t="str">
        <f>IF(OR($A72="",TYPE(VLOOKUP($A72,Centrum!$D$3:$M$130,10,0))&gt;3),"",VLOOKUP(VLOOKUP($A72,Centrum!$D$3:$M$130,10,0),Centrum!$A$3:$CB$130,L$132,0))</f>
        <v/>
      </c>
      <c r="M72" s="333" t="str">
        <f>IF(OR($A72="",TYPE(VLOOKUP($A72,Centrum!$D$3:$M$130,10,0))&gt;3),"",VLOOKUP(VLOOKUP($A72,Centrum!$D$3:$M$130,10,0),Centrum!$A$3:$CB$130,M$132,0))</f>
        <v/>
      </c>
      <c r="N72" s="333" t="str">
        <f>IF(OR($A72="",TYPE(VLOOKUP($A72,Centrum!$D$3:$M$130,10,0))&gt;3),"",VLOOKUP(VLOOKUP($A72,Centrum!$D$3:$M$130,10,0),Centrum!$A$3:$CB$130,N$132,0))</f>
        <v/>
      </c>
      <c r="O72" s="333" t="str">
        <f>IF(OR($A72="",TYPE(VLOOKUP($A72,Centrum!$D$3:$M$130,10,0))&gt;3),"",VLOOKUP(VLOOKUP($A72,Centrum!$D$3:$M$130,10,0),Centrum!$A$3:$CB$130,O$132,0))</f>
        <v/>
      </c>
      <c r="P72" s="333" t="str">
        <f>IF(OR($A72="",TYPE(VLOOKUP($A72,Centrum!$D$3:$M$130,10,0))&gt;3),"",VLOOKUP(VLOOKUP($A72,Centrum!$D$3:$M$130,10,0),Centrum!$A$3:$CB$130,P$132,0))</f>
        <v/>
      </c>
      <c r="Q72" s="333" t="str">
        <f>IF(OR($A72="",TYPE(VLOOKUP($A72,Centrum!$D$3:$M$130,10,0))&gt;3),"",VLOOKUP(VLOOKUP($A72,Centrum!$D$3:$M$130,10,0),Centrum!$A$3:$CB$130,Q$132,0))</f>
        <v/>
      </c>
      <c r="S72" s="333" t="str">
        <f>IF(OR($A72="",TYPE(VLOOKUP($A72,Centrum!$D$3:$M$130,10,0))&gt;3),"",VLOOKUP(VLOOKUP($A72,Centrum!$D$3:$M$130,10,0),Centrum!$A$3:$CB$130,S$132,0))</f>
        <v/>
      </c>
      <c r="T72" s="333" t="str">
        <f>IF(OR($A72="",TYPE(VLOOKUP($A72,Centrum!$D$3:$M$130,10,0))&gt;3),"",VLOOKUP(VLOOKUP($A72,Centrum!$D$3:$M$130,10,0),Centrum!$A$3:$CB$130,T$132,0))</f>
        <v/>
      </c>
      <c r="U72" s="333" t="str">
        <f>IF(OR($A72="",TYPE(VLOOKUP($A72,Centrum!$D$3:$M$130,10,0))&gt;3),"",VLOOKUP(VLOOKUP($A72,Centrum!$D$3:$M$130,10,0),Centrum!$A$3:$CB$130,U$132,0))</f>
        <v/>
      </c>
      <c r="AB72" s="333" t="str">
        <f>IF(OR($A72="",TYPE(VLOOKUP($A72,Centrum!$D$3:$M$130,10,0))&gt;3),"",VLOOKUP(VLOOKUP($A72,Centrum!$D$3:$M$130,10,0),Centrum!$A$3:$CB$130,AB$132,0))</f>
        <v/>
      </c>
      <c r="AC72" s="333" t="str">
        <f>IF(OR($A72="",TYPE(VLOOKUP($A72,Centrum!$D$3:$M$130,10,0))&gt;3),"",VLOOKUP(VLOOKUP($A72,Centrum!$D$3:$M$130,10,0),Centrum!$A$3:$CB$130,AC$132,0))</f>
        <v/>
      </c>
      <c r="AD72" s="333" t="str">
        <f>IF(OR($A72="",TYPE(VLOOKUP($A72,Centrum!$D$3:$M$130,10,0))&gt;3),"",VLOOKUP(VLOOKUP($A72,Centrum!$D$3:$M$130,10,0),Centrum!$A$3:$CB$130,AD$132,0))</f>
        <v/>
      </c>
      <c r="AK72" s="333" t="str">
        <f>IF(OR($A72="",TYPE(VLOOKUP($A72,Centrum!$D$3:$M$130,10,0))&gt;3),"",VLOOKUP(VLOOKUP($A72,Centrum!$D$3:$M$130,10,0),Centrum!$A$3:$CB$130,AK$132,0))</f>
        <v/>
      </c>
      <c r="AL72" s="333" t="str">
        <f>IF(OR($A72="",TYPE(VLOOKUP($A72,Centrum!$D$3:$M$130,10,0))&gt;3),"",VLOOKUP(VLOOKUP($A72,Centrum!$D$3:$M$130,10,0),Centrum!$A$3:$CB$130,AL$132,0))</f>
        <v/>
      </c>
      <c r="AM72" s="333" t="str">
        <f>IF(OR($A72="",TYPE(VLOOKUP($A72,Centrum!$D$3:$M$130,10,0))&gt;3),"",VLOOKUP(VLOOKUP($A72,Centrum!$D$3:$M$130,10,0),Centrum!$A$3:$CB$130,AM$132,0))</f>
        <v/>
      </c>
      <c r="AT72" s="333" t="str">
        <f>IF(OR(OR($A72="",TYPE(VLOOKUP($A72,Centrum!$D$3:$M$130,10,0))&gt;3),$A$1&lt;4),"",VLOOKUP(VLOOKUP($A72,Centrum!$D$3:$M$130,10,0),Centrum!$A$3:$CB$130,AT$132,0))</f>
        <v/>
      </c>
      <c r="AU72" s="333" t="str">
        <f>IF(OR(OR($A72="",TYPE(VLOOKUP($A72,Centrum!$D$3:$M$130,10,0))&gt;3),$A$1&lt;4),"",VLOOKUP(VLOOKUP($A72,Centrum!$D$3:$M$130,10,0),Centrum!$A$3:$CB$130,AU$132,0))</f>
        <v/>
      </c>
      <c r="AV72" s="333" t="str">
        <f>IF(OR(OR($A72="",TYPE(VLOOKUP($A72,Centrum!$D$3:$M$130,10,0))&gt;3),$A$1&lt;4),"",VLOOKUP(VLOOKUP($A72,Centrum!$D$3:$M$130,10,0),Centrum!$A$3:$CB$130,AV$132,0))</f>
        <v/>
      </c>
      <c r="BC72" s="333" t="str">
        <f>IF(OR(OR($A72="",TYPE(VLOOKUP($A72,Centrum!$D$3:$M$130,10,0))&gt;3),$A$1&lt;5),"",VLOOKUP(VLOOKUP($A72,Centrum!$D$3:$M$130,10,0),Centrum!$A$3:$CB$130,BC$132,0))</f>
        <v/>
      </c>
      <c r="BD72" s="333" t="str">
        <f>IF(OR(OR($A72="",TYPE(VLOOKUP($A72,Centrum!$D$3:$M$130,10,0))&gt;3),$A$1&lt;5),"",VLOOKUP(VLOOKUP($A72,Centrum!$D$3:$M$130,10,0),Centrum!$A$3:$CB$130,BD$132,0))</f>
        <v/>
      </c>
      <c r="BE72" s="333" t="str">
        <f>IF(OR(OR($A72="",TYPE(VLOOKUP($A72,Centrum!$D$3:$M$130,10,0))&gt;3),$A$1&lt;5),"",VLOOKUP(VLOOKUP($A72,Centrum!$D$3:$M$130,10,0),Centrum!$A$3:$CB$130,BE$132,0))</f>
        <v/>
      </c>
      <c r="BL72" s="333" t="str">
        <f>IF(OR(OR($A72="",TYPE(VLOOKUP($A72,Centrum!$D$3:$M$130,10,0))&gt;3),$A$1&lt;6),"",VLOOKUP(VLOOKUP($A72,Centrum!$D$3:$M$130,10,0),Centrum!$A$3:$CB$130,BL$132,0))</f>
        <v/>
      </c>
      <c r="BM72" s="333" t="str">
        <f>IF(OR(OR($A72="",TYPE(VLOOKUP($A72,Centrum!$D$3:$M$130,10,0))&gt;3),$A$1&lt;6),"",VLOOKUP(VLOOKUP($A72,Centrum!$D$3:$M$130,10,0),Centrum!$A$3:$CB$130,BM$132,0))</f>
        <v/>
      </c>
      <c r="BN72" s="333" t="str">
        <f>IF(OR(OR($A72="",TYPE(VLOOKUP($A72,Centrum!$D$3:$M$130,10,0))&gt;3),$A$1&lt;6),"",VLOOKUP(VLOOKUP($A72,Centrum!$D$3:$M$130,10,0),Centrum!$A$3:$CB$130,BN$132,0))</f>
        <v/>
      </c>
    </row>
    <row r="73" spans="1:66" x14ac:dyDescent="0.25">
      <c r="A73" s="333" t="str">
        <f>Centrum!A73</f>
        <v/>
      </c>
      <c r="B73" s="439" t="str">
        <f>IF(OR($A73="",TYPE(VLOOKUP($A73,Centrum!$D$3:$M$130,10,0))&gt;3),"",VLOOKUP(VLOOKUP(A73,Centrum!$D$3:$M$130,10,0),Centrum!$A$3:$CB$130,B$132,0))</f>
        <v/>
      </c>
      <c r="C73" s="333" t="str">
        <f>IF(OR($A73="",TYPE(VLOOKUP($A73,Centrum!$D$3:$M$130,10,0))&gt;3),"",VLOOKUP($A73,Centrum!$D$3:$M$130,10,0))</f>
        <v/>
      </c>
      <c r="E73" s="333" t="str">
        <f>IF(OR($A73="",TYPE(VLOOKUP($A73,Centrum!$D$3:$M$130,10,0))&gt;3),"",VLOOKUP(VLOOKUP($A73,Centrum!$D$3:$M$130,10,0),Centrum!$A$3:$CB$130,E$132,0))</f>
        <v/>
      </c>
      <c r="F73" s="333" t="str">
        <f>IF(OR($A73="",TYPE(VLOOKUP($A73,Centrum!$D$3:$M$130,10,0))&gt;3),"",VLOOKUP(VLOOKUP($A73,Centrum!$D$3:$M$130,10,0),Centrum!$A$3:$CB$130,F$132,0))</f>
        <v/>
      </c>
      <c r="G73" s="333" t="str">
        <f>IF(OR($A73="",TYPE(VLOOKUP($A73,Centrum!$D$3:$M$130,10,0))&gt;3),"",VLOOKUP(VLOOKUP($A73,Centrum!$D$3:$M$130,10,0),Centrum!$A$3:$CB$130,G$132,0))</f>
        <v/>
      </c>
      <c r="H73" s="333" t="str">
        <f>IF($A73="","",VLOOKUP(VLOOKUP($A73,Centrum!$D$3:$M$130,10,0),Centrum!$A$3:$CB$130,H$132,0))</f>
        <v/>
      </c>
      <c r="I73" s="333" t="str">
        <f>IF($A73="","",VLOOKUP(VLOOKUP($A73,Centrum!$D$3:$M$130,10,0),Centrum!$A$3:$CB$130,I$132,0))</f>
        <v/>
      </c>
      <c r="J73" s="333" t="str">
        <f>IF(OR($A73="",TYPE(VLOOKUP($A73,Centrum!$D$3:$M$130,10,0))&gt;3),"",VLOOKUP(VLOOKUP($A73,Centrum!$D$3:$M$130,10,0),Centrum!$A$3:$CB$130,J$132,0))</f>
        <v/>
      </c>
      <c r="L73" s="333" t="str">
        <f>IF(OR($A73="",TYPE(VLOOKUP($A73,Centrum!$D$3:$M$130,10,0))&gt;3),"",VLOOKUP(VLOOKUP($A73,Centrum!$D$3:$M$130,10,0),Centrum!$A$3:$CB$130,L$132,0))</f>
        <v/>
      </c>
      <c r="M73" s="333" t="str">
        <f>IF(OR($A73="",TYPE(VLOOKUP($A73,Centrum!$D$3:$M$130,10,0))&gt;3),"",VLOOKUP(VLOOKUP($A73,Centrum!$D$3:$M$130,10,0),Centrum!$A$3:$CB$130,M$132,0))</f>
        <v/>
      </c>
      <c r="N73" s="333" t="str">
        <f>IF(OR($A73="",TYPE(VLOOKUP($A73,Centrum!$D$3:$M$130,10,0))&gt;3),"",VLOOKUP(VLOOKUP($A73,Centrum!$D$3:$M$130,10,0),Centrum!$A$3:$CB$130,N$132,0))</f>
        <v/>
      </c>
      <c r="O73" s="333" t="str">
        <f>IF(OR($A73="",TYPE(VLOOKUP($A73,Centrum!$D$3:$M$130,10,0))&gt;3),"",VLOOKUP(VLOOKUP($A73,Centrum!$D$3:$M$130,10,0),Centrum!$A$3:$CB$130,O$132,0))</f>
        <v/>
      </c>
      <c r="P73" s="333" t="str">
        <f>IF(OR($A73="",TYPE(VLOOKUP($A73,Centrum!$D$3:$M$130,10,0))&gt;3),"",VLOOKUP(VLOOKUP($A73,Centrum!$D$3:$M$130,10,0),Centrum!$A$3:$CB$130,P$132,0))</f>
        <v/>
      </c>
      <c r="Q73" s="333" t="str">
        <f>IF(OR($A73="",TYPE(VLOOKUP($A73,Centrum!$D$3:$M$130,10,0))&gt;3),"",VLOOKUP(VLOOKUP($A73,Centrum!$D$3:$M$130,10,0),Centrum!$A$3:$CB$130,Q$132,0))</f>
        <v/>
      </c>
      <c r="S73" s="333" t="str">
        <f>IF(OR($A73="",TYPE(VLOOKUP($A73,Centrum!$D$3:$M$130,10,0))&gt;3),"",VLOOKUP(VLOOKUP($A73,Centrum!$D$3:$M$130,10,0),Centrum!$A$3:$CB$130,S$132,0))</f>
        <v/>
      </c>
      <c r="T73" s="333" t="str">
        <f>IF(OR($A73="",TYPE(VLOOKUP($A73,Centrum!$D$3:$M$130,10,0))&gt;3),"",VLOOKUP(VLOOKUP($A73,Centrum!$D$3:$M$130,10,0),Centrum!$A$3:$CB$130,T$132,0))</f>
        <v/>
      </c>
      <c r="U73" s="333" t="str">
        <f>IF(OR($A73="",TYPE(VLOOKUP($A73,Centrum!$D$3:$M$130,10,0))&gt;3),"",VLOOKUP(VLOOKUP($A73,Centrum!$D$3:$M$130,10,0),Centrum!$A$3:$CB$130,U$132,0))</f>
        <v/>
      </c>
      <c r="AB73" s="333" t="str">
        <f>IF(OR($A73="",TYPE(VLOOKUP($A73,Centrum!$D$3:$M$130,10,0))&gt;3),"",VLOOKUP(VLOOKUP($A73,Centrum!$D$3:$M$130,10,0),Centrum!$A$3:$CB$130,AB$132,0))</f>
        <v/>
      </c>
      <c r="AC73" s="333" t="str">
        <f>IF(OR($A73="",TYPE(VLOOKUP($A73,Centrum!$D$3:$M$130,10,0))&gt;3),"",VLOOKUP(VLOOKUP($A73,Centrum!$D$3:$M$130,10,0),Centrum!$A$3:$CB$130,AC$132,0))</f>
        <v/>
      </c>
      <c r="AD73" s="333" t="str">
        <f>IF(OR($A73="",TYPE(VLOOKUP($A73,Centrum!$D$3:$M$130,10,0))&gt;3),"",VLOOKUP(VLOOKUP($A73,Centrum!$D$3:$M$130,10,0),Centrum!$A$3:$CB$130,AD$132,0))</f>
        <v/>
      </c>
      <c r="AK73" s="333" t="str">
        <f>IF(OR($A73="",TYPE(VLOOKUP($A73,Centrum!$D$3:$M$130,10,0))&gt;3),"",VLOOKUP(VLOOKUP($A73,Centrum!$D$3:$M$130,10,0),Centrum!$A$3:$CB$130,AK$132,0))</f>
        <v/>
      </c>
      <c r="AL73" s="333" t="str">
        <f>IF(OR($A73="",TYPE(VLOOKUP($A73,Centrum!$D$3:$M$130,10,0))&gt;3),"",VLOOKUP(VLOOKUP($A73,Centrum!$D$3:$M$130,10,0),Centrum!$A$3:$CB$130,AL$132,0))</f>
        <v/>
      </c>
      <c r="AM73" s="333" t="str">
        <f>IF(OR($A73="",TYPE(VLOOKUP($A73,Centrum!$D$3:$M$130,10,0))&gt;3),"",VLOOKUP(VLOOKUP($A73,Centrum!$D$3:$M$130,10,0),Centrum!$A$3:$CB$130,AM$132,0))</f>
        <v/>
      </c>
      <c r="AT73" s="333" t="str">
        <f>IF(OR(OR($A73="",TYPE(VLOOKUP($A73,Centrum!$D$3:$M$130,10,0))&gt;3),$A$1&lt;4),"",VLOOKUP(VLOOKUP($A73,Centrum!$D$3:$M$130,10,0),Centrum!$A$3:$CB$130,AT$132,0))</f>
        <v/>
      </c>
      <c r="AU73" s="333" t="str">
        <f>IF(OR(OR($A73="",TYPE(VLOOKUP($A73,Centrum!$D$3:$M$130,10,0))&gt;3),$A$1&lt;4),"",VLOOKUP(VLOOKUP($A73,Centrum!$D$3:$M$130,10,0),Centrum!$A$3:$CB$130,AU$132,0))</f>
        <v/>
      </c>
      <c r="AV73" s="333" t="str">
        <f>IF(OR(OR($A73="",TYPE(VLOOKUP($A73,Centrum!$D$3:$M$130,10,0))&gt;3),$A$1&lt;4),"",VLOOKUP(VLOOKUP($A73,Centrum!$D$3:$M$130,10,0),Centrum!$A$3:$CB$130,AV$132,0))</f>
        <v/>
      </c>
      <c r="BC73" s="333" t="str">
        <f>IF(OR(OR($A73="",TYPE(VLOOKUP($A73,Centrum!$D$3:$M$130,10,0))&gt;3),$A$1&lt;5),"",VLOOKUP(VLOOKUP($A73,Centrum!$D$3:$M$130,10,0),Centrum!$A$3:$CB$130,BC$132,0))</f>
        <v/>
      </c>
      <c r="BD73" s="333" t="str">
        <f>IF(OR(OR($A73="",TYPE(VLOOKUP($A73,Centrum!$D$3:$M$130,10,0))&gt;3),$A$1&lt;5),"",VLOOKUP(VLOOKUP($A73,Centrum!$D$3:$M$130,10,0),Centrum!$A$3:$CB$130,BD$132,0))</f>
        <v/>
      </c>
      <c r="BE73" s="333" t="str">
        <f>IF(OR(OR($A73="",TYPE(VLOOKUP($A73,Centrum!$D$3:$M$130,10,0))&gt;3),$A$1&lt;5),"",VLOOKUP(VLOOKUP($A73,Centrum!$D$3:$M$130,10,0),Centrum!$A$3:$CB$130,BE$132,0))</f>
        <v/>
      </c>
      <c r="BL73" s="333" t="str">
        <f>IF(OR(OR($A73="",TYPE(VLOOKUP($A73,Centrum!$D$3:$M$130,10,0))&gt;3),$A$1&lt;6),"",VLOOKUP(VLOOKUP($A73,Centrum!$D$3:$M$130,10,0),Centrum!$A$3:$CB$130,BL$132,0))</f>
        <v/>
      </c>
      <c r="BM73" s="333" t="str">
        <f>IF(OR(OR($A73="",TYPE(VLOOKUP($A73,Centrum!$D$3:$M$130,10,0))&gt;3),$A$1&lt;6),"",VLOOKUP(VLOOKUP($A73,Centrum!$D$3:$M$130,10,0),Centrum!$A$3:$CB$130,BM$132,0))</f>
        <v/>
      </c>
      <c r="BN73" s="333" t="str">
        <f>IF(OR(OR($A73="",TYPE(VLOOKUP($A73,Centrum!$D$3:$M$130,10,0))&gt;3),$A$1&lt;6),"",VLOOKUP(VLOOKUP($A73,Centrum!$D$3:$M$130,10,0),Centrum!$A$3:$CB$130,BN$132,0))</f>
        <v/>
      </c>
    </row>
    <row r="74" spans="1:66" x14ac:dyDescent="0.25">
      <c r="A74" s="333" t="str">
        <f>Centrum!A74</f>
        <v/>
      </c>
      <c r="B74" s="439" t="str">
        <f>IF(OR($A74="",TYPE(VLOOKUP($A74,Centrum!$D$3:$M$130,10,0))&gt;3),"",VLOOKUP(VLOOKUP(A74,Centrum!$D$3:$M$130,10,0),Centrum!$A$3:$CB$130,B$132,0))</f>
        <v/>
      </c>
      <c r="C74" s="333" t="str">
        <f>IF(OR($A74="",TYPE(VLOOKUP($A74,Centrum!$D$3:$M$130,10,0))&gt;3),"",VLOOKUP($A74,Centrum!$D$3:$M$130,10,0))</f>
        <v/>
      </c>
      <c r="E74" s="333" t="str">
        <f>IF(OR($A74="",TYPE(VLOOKUP($A74,Centrum!$D$3:$M$130,10,0))&gt;3),"",VLOOKUP(VLOOKUP($A74,Centrum!$D$3:$M$130,10,0),Centrum!$A$3:$CB$130,E$132,0))</f>
        <v/>
      </c>
      <c r="F74" s="333" t="str">
        <f>IF(OR($A74="",TYPE(VLOOKUP($A74,Centrum!$D$3:$M$130,10,0))&gt;3),"",VLOOKUP(VLOOKUP($A74,Centrum!$D$3:$M$130,10,0),Centrum!$A$3:$CB$130,F$132,0))</f>
        <v/>
      </c>
      <c r="G74" s="333" t="str">
        <f>IF(OR($A74="",TYPE(VLOOKUP($A74,Centrum!$D$3:$M$130,10,0))&gt;3),"",VLOOKUP(VLOOKUP($A74,Centrum!$D$3:$M$130,10,0),Centrum!$A$3:$CB$130,G$132,0))</f>
        <v/>
      </c>
      <c r="H74" s="333" t="str">
        <f>IF($A74="","",VLOOKUP(VLOOKUP($A74,Centrum!$D$3:$M$130,10,0),Centrum!$A$3:$CB$130,H$132,0))</f>
        <v/>
      </c>
      <c r="I74" s="333" t="str">
        <f>IF($A74="","",VLOOKUP(VLOOKUP($A74,Centrum!$D$3:$M$130,10,0),Centrum!$A$3:$CB$130,I$132,0))</f>
        <v/>
      </c>
      <c r="J74" s="333" t="str">
        <f>IF(OR($A74="",TYPE(VLOOKUP($A74,Centrum!$D$3:$M$130,10,0))&gt;3),"",VLOOKUP(VLOOKUP($A74,Centrum!$D$3:$M$130,10,0),Centrum!$A$3:$CB$130,J$132,0))</f>
        <v/>
      </c>
      <c r="L74" s="333" t="str">
        <f>IF(OR($A74="",TYPE(VLOOKUP($A74,Centrum!$D$3:$M$130,10,0))&gt;3),"",VLOOKUP(VLOOKUP($A74,Centrum!$D$3:$M$130,10,0),Centrum!$A$3:$CB$130,L$132,0))</f>
        <v/>
      </c>
      <c r="M74" s="333" t="str">
        <f>IF(OR($A74="",TYPE(VLOOKUP($A74,Centrum!$D$3:$M$130,10,0))&gt;3),"",VLOOKUP(VLOOKUP($A74,Centrum!$D$3:$M$130,10,0),Centrum!$A$3:$CB$130,M$132,0))</f>
        <v/>
      </c>
      <c r="N74" s="333" t="str">
        <f>IF(OR($A74="",TYPE(VLOOKUP($A74,Centrum!$D$3:$M$130,10,0))&gt;3),"",VLOOKUP(VLOOKUP($A74,Centrum!$D$3:$M$130,10,0),Centrum!$A$3:$CB$130,N$132,0))</f>
        <v/>
      </c>
      <c r="O74" s="333" t="str">
        <f>IF(OR($A74="",TYPE(VLOOKUP($A74,Centrum!$D$3:$M$130,10,0))&gt;3),"",VLOOKUP(VLOOKUP($A74,Centrum!$D$3:$M$130,10,0),Centrum!$A$3:$CB$130,O$132,0))</f>
        <v/>
      </c>
      <c r="P74" s="333" t="str">
        <f>IF(OR($A74="",TYPE(VLOOKUP($A74,Centrum!$D$3:$M$130,10,0))&gt;3),"",VLOOKUP(VLOOKUP($A74,Centrum!$D$3:$M$130,10,0),Centrum!$A$3:$CB$130,P$132,0))</f>
        <v/>
      </c>
      <c r="Q74" s="333" t="str">
        <f>IF(OR($A74="",TYPE(VLOOKUP($A74,Centrum!$D$3:$M$130,10,0))&gt;3),"",VLOOKUP(VLOOKUP($A74,Centrum!$D$3:$M$130,10,0),Centrum!$A$3:$CB$130,Q$132,0))</f>
        <v/>
      </c>
      <c r="S74" s="333" t="str">
        <f>IF(OR($A74="",TYPE(VLOOKUP($A74,Centrum!$D$3:$M$130,10,0))&gt;3),"",VLOOKUP(VLOOKUP($A74,Centrum!$D$3:$M$130,10,0),Centrum!$A$3:$CB$130,S$132,0))</f>
        <v/>
      </c>
      <c r="T74" s="333" t="str">
        <f>IF(OR($A74="",TYPE(VLOOKUP($A74,Centrum!$D$3:$M$130,10,0))&gt;3),"",VLOOKUP(VLOOKUP($A74,Centrum!$D$3:$M$130,10,0),Centrum!$A$3:$CB$130,T$132,0))</f>
        <v/>
      </c>
      <c r="U74" s="333" t="str">
        <f>IF(OR($A74="",TYPE(VLOOKUP($A74,Centrum!$D$3:$M$130,10,0))&gt;3),"",VLOOKUP(VLOOKUP($A74,Centrum!$D$3:$M$130,10,0),Centrum!$A$3:$CB$130,U$132,0))</f>
        <v/>
      </c>
      <c r="AB74" s="333" t="str">
        <f>IF(OR($A74="",TYPE(VLOOKUP($A74,Centrum!$D$3:$M$130,10,0))&gt;3),"",VLOOKUP(VLOOKUP($A74,Centrum!$D$3:$M$130,10,0),Centrum!$A$3:$CB$130,AB$132,0))</f>
        <v/>
      </c>
      <c r="AC74" s="333" t="str">
        <f>IF(OR($A74="",TYPE(VLOOKUP($A74,Centrum!$D$3:$M$130,10,0))&gt;3),"",VLOOKUP(VLOOKUP($A74,Centrum!$D$3:$M$130,10,0),Centrum!$A$3:$CB$130,AC$132,0))</f>
        <v/>
      </c>
      <c r="AD74" s="333" t="str">
        <f>IF(OR($A74="",TYPE(VLOOKUP($A74,Centrum!$D$3:$M$130,10,0))&gt;3),"",VLOOKUP(VLOOKUP($A74,Centrum!$D$3:$M$130,10,0),Centrum!$A$3:$CB$130,AD$132,0))</f>
        <v/>
      </c>
      <c r="AK74" s="333" t="str">
        <f>IF(OR($A74="",TYPE(VLOOKUP($A74,Centrum!$D$3:$M$130,10,0))&gt;3),"",VLOOKUP(VLOOKUP($A74,Centrum!$D$3:$M$130,10,0),Centrum!$A$3:$CB$130,AK$132,0))</f>
        <v/>
      </c>
      <c r="AL74" s="333" t="str">
        <f>IF(OR($A74="",TYPE(VLOOKUP($A74,Centrum!$D$3:$M$130,10,0))&gt;3),"",VLOOKUP(VLOOKUP($A74,Centrum!$D$3:$M$130,10,0),Centrum!$A$3:$CB$130,AL$132,0))</f>
        <v/>
      </c>
      <c r="AM74" s="333" t="str">
        <f>IF(OR($A74="",TYPE(VLOOKUP($A74,Centrum!$D$3:$M$130,10,0))&gt;3),"",VLOOKUP(VLOOKUP($A74,Centrum!$D$3:$M$130,10,0),Centrum!$A$3:$CB$130,AM$132,0))</f>
        <v/>
      </c>
      <c r="AT74" s="333" t="str">
        <f>IF(OR(OR($A74="",TYPE(VLOOKUP($A74,Centrum!$D$3:$M$130,10,0))&gt;3),$A$1&lt;4),"",VLOOKUP(VLOOKUP($A74,Centrum!$D$3:$M$130,10,0),Centrum!$A$3:$CB$130,AT$132,0))</f>
        <v/>
      </c>
      <c r="AU74" s="333" t="str">
        <f>IF(OR(OR($A74="",TYPE(VLOOKUP($A74,Centrum!$D$3:$M$130,10,0))&gt;3),$A$1&lt;4),"",VLOOKUP(VLOOKUP($A74,Centrum!$D$3:$M$130,10,0),Centrum!$A$3:$CB$130,AU$132,0))</f>
        <v/>
      </c>
      <c r="AV74" s="333" t="str">
        <f>IF(OR(OR($A74="",TYPE(VLOOKUP($A74,Centrum!$D$3:$M$130,10,0))&gt;3),$A$1&lt;4),"",VLOOKUP(VLOOKUP($A74,Centrum!$D$3:$M$130,10,0),Centrum!$A$3:$CB$130,AV$132,0))</f>
        <v/>
      </c>
      <c r="BC74" s="333" t="str">
        <f>IF(OR(OR($A74="",TYPE(VLOOKUP($A74,Centrum!$D$3:$M$130,10,0))&gt;3),$A$1&lt;5),"",VLOOKUP(VLOOKUP($A74,Centrum!$D$3:$M$130,10,0),Centrum!$A$3:$CB$130,BC$132,0))</f>
        <v/>
      </c>
      <c r="BD74" s="333" t="str">
        <f>IF(OR(OR($A74="",TYPE(VLOOKUP($A74,Centrum!$D$3:$M$130,10,0))&gt;3),$A$1&lt;5),"",VLOOKUP(VLOOKUP($A74,Centrum!$D$3:$M$130,10,0),Centrum!$A$3:$CB$130,BD$132,0))</f>
        <v/>
      </c>
      <c r="BE74" s="333" t="str">
        <f>IF(OR(OR($A74="",TYPE(VLOOKUP($A74,Centrum!$D$3:$M$130,10,0))&gt;3),$A$1&lt;5),"",VLOOKUP(VLOOKUP($A74,Centrum!$D$3:$M$130,10,0),Centrum!$A$3:$CB$130,BE$132,0))</f>
        <v/>
      </c>
      <c r="BL74" s="333" t="str">
        <f>IF(OR(OR($A74="",TYPE(VLOOKUP($A74,Centrum!$D$3:$M$130,10,0))&gt;3),$A$1&lt;6),"",VLOOKUP(VLOOKUP($A74,Centrum!$D$3:$M$130,10,0),Centrum!$A$3:$CB$130,BL$132,0))</f>
        <v/>
      </c>
      <c r="BM74" s="333" t="str">
        <f>IF(OR(OR($A74="",TYPE(VLOOKUP($A74,Centrum!$D$3:$M$130,10,0))&gt;3),$A$1&lt;6),"",VLOOKUP(VLOOKUP($A74,Centrum!$D$3:$M$130,10,0),Centrum!$A$3:$CB$130,BM$132,0))</f>
        <v/>
      </c>
      <c r="BN74" s="333" t="str">
        <f>IF(OR(OR($A74="",TYPE(VLOOKUP($A74,Centrum!$D$3:$M$130,10,0))&gt;3),$A$1&lt;6),"",VLOOKUP(VLOOKUP($A74,Centrum!$D$3:$M$130,10,0),Centrum!$A$3:$CB$130,BN$132,0))</f>
        <v/>
      </c>
    </row>
    <row r="75" spans="1:66" x14ac:dyDescent="0.25">
      <c r="A75" s="333" t="str">
        <f>Centrum!A75</f>
        <v/>
      </c>
      <c r="B75" s="439" t="str">
        <f>IF(OR($A75="",TYPE(VLOOKUP($A75,Centrum!$D$3:$M$130,10,0))&gt;3),"",VLOOKUP(VLOOKUP(A75,Centrum!$D$3:$M$130,10,0),Centrum!$A$3:$CB$130,B$132,0))</f>
        <v/>
      </c>
      <c r="C75" s="333" t="str">
        <f>IF(OR($A75="",TYPE(VLOOKUP($A75,Centrum!$D$3:$M$130,10,0))&gt;3),"",VLOOKUP($A75,Centrum!$D$3:$M$130,10,0))</f>
        <v/>
      </c>
      <c r="E75" s="333" t="str">
        <f>IF(OR($A75="",TYPE(VLOOKUP($A75,Centrum!$D$3:$M$130,10,0))&gt;3),"",VLOOKUP(VLOOKUP($A75,Centrum!$D$3:$M$130,10,0),Centrum!$A$3:$CB$130,E$132,0))</f>
        <v/>
      </c>
      <c r="F75" s="333" t="str">
        <f>IF(OR($A75="",TYPE(VLOOKUP($A75,Centrum!$D$3:$M$130,10,0))&gt;3),"",VLOOKUP(VLOOKUP($A75,Centrum!$D$3:$M$130,10,0),Centrum!$A$3:$CB$130,F$132,0))</f>
        <v/>
      </c>
      <c r="G75" s="333" t="str">
        <f>IF(OR($A75="",TYPE(VLOOKUP($A75,Centrum!$D$3:$M$130,10,0))&gt;3),"",VLOOKUP(VLOOKUP($A75,Centrum!$D$3:$M$130,10,0),Centrum!$A$3:$CB$130,G$132,0))</f>
        <v/>
      </c>
      <c r="H75" s="333" t="str">
        <f>IF($A75="","",VLOOKUP(VLOOKUP($A75,Centrum!$D$3:$M$130,10,0),Centrum!$A$3:$CB$130,H$132,0))</f>
        <v/>
      </c>
      <c r="I75" s="333" t="str">
        <f>IF($A75="","",VLOOKUP(VLOOKUP($A75,Centrum!$D$3:$M$130,10,0),Centrum!$A$3:$CB$130,I$132,0))</f>
        <v/>
      </c>
      <c r="J75" s="333" t="str">
        <f>IF(OR($A75="",TYPE(VLOOKUP($A75,Centrum!$D$3:$M$130,10,0))&gt;3),"",VLOOKUP(VLOOKUP($A75,Centrum!$D$3:$M$130,10,0),Centrum!$A$3:$CB$130,J$132,0))</f>
        <v/>
      </c>
      <c r="L75" s="333" t="str">
        <f>IF(OR($A75="",TYPE(VLOOKUP($A75,Centrum!$D$3:$M$130,10,0))&gt;3),"",VLOOKUP(VLOOKUP($A75,Centrum!$D$3:$M$130,10,0),Centrum!$A$3:$CB$130,L$132,0))</f>
        <v/>
      </c>
      <c r="M75" s="333" t="str">
        <f>IF(OR($A75="",TYPE(VLOOKUP($A75,Centrum!$D$3:$M$130,10,0))&gt;3),"",VLOOKUP(VLOOKUP($A75,Centrum!$D$3:$M$130,10,0),Centrum!$A$3:$CB$130,M$132,0))</f>
        <v/>
      </c>
      <c r="N75" s="333" t="str">
        <f>IF(OR($A75="",TYPE(VLOOKUP($A75,Centrum!$D$3:$M$130,10,0))&gt;3),"",VLOOKUP(VLOOKUP($A75,Centrum!$D$3:$M$130,10,0),Centrum!$A$3:$CB$130,N$132,0))</f>
        <v/>
      </c>
      <c r="O75" s="333" t="str">
        <f>IF(OR($A75="",TYPE(VLOOKUP($A75,Centrum!$D$3:$M$130,10,0))&gt;3),"",VLOOKUP(VLOOKUP($A75,Centrum!$D$3:$M$130,10,0),Centrum!$A$3:$CB$130,O$132,0))</f>
        <v/>
      </c>
      <c r="P75" s="333" t="str">
        <f>IF(OR($A75="",TYPE(VLOOKUP($A75,Centrum!$D$3:$M$130,10,0))&gt;3),"",VLOOKUP(VLOOKUP($A75,Centrum!$D$3:$M$130,10,0),Centrum!$A$3:$CB$130,P$132,0))</f>
        <v/>
      </c>
      <c r="Q75" s="333" t="str">
        <f>IF(OR($A75="",TYPE(VLOOKUP($A75,Centrum!$D$3:$M$130,10,0))&gt;3),"",VLOOKUP(VLOOKUP($A75,Centrum!$D$3:$M$130,10,0),Centrum!$A$3:$CB$130,Q$132,0))</f>
        <v/>
      </c>
      <c r="S75" s="333" t="str">
        <f>IF(OR($A75="",TYPE(VLOOKUP($A75,Centrum!$D$3:$M$130,10,0))&gt;3),"",VLOOKUP(VLOOKUP($A75,Centrum!$D$3:$M$130,10,0),Centrum!$A$3:$CB$130,S$132,0))</f>
        <v/>
      </c>
      <c r="T75" s="333" t="str">
        <f>IF(OR($A75="",TYPE(VLOOKUP($A75,Centrum!$D$3:$M$130,10,0))&gt;3),"",VLOOKUP(VLOOKUP($A75,Centrum!$D$3:$M$130,10,0),Centrum!$A$3:$CB$130,T$132,0))</f>
        <v/>
      </c>
      <c r="U75" s="333" t="str">
        <f>IF(OR($A75="",TYPE(VLOOKUP($A75,Centrum!$D$3:$M$130,10,0))&gt;3),"",VLOOKUP(VLOOKUP($A75,Centrum!$D$3:$M$130,10,0),Centrum!$A$3:$CB$130,U$132,0))</f>
        <v/>
      </c>
      <c r="AB75" s="333" t="str">
        <f>IF(OR($A75="",TYPE(VLOOKUP($A75,Centrum!$D$3:$M$130,10,0))&gt;3),"",VLOOKUP(VLOOKUP($A75,Centrum!$D$3:$M$130,10,0),Centrum!$A$3:$CB$130,AB$132,0))</f>
        <v/>
      </c>
      <c r="AC75" s="333" t="str">
        <f>IF(OR($A75="",TYPE(VLOOKUP($A75,Centrum!$D$3:$M$130,10,0))&gt;3),"",VLOOKUP(VLOOKUP($A75,Centrum!$D$3:$M$130,10,0),Centrum!$A$3:$CB$130,AC$132,0))</f>
        <v/>
      </c>
      <c r="AD75" s="333" t="str">
        <f>IF(OR($A75="",TYPE(VLOOKUP($A75,Centrum!$D$3:$M$130,10,0))&gt;3),"",VLOOKUP(VLOOKUP($A75,Centrum!$D$3:$M$130,10,0),Centrum!$A$3:$CB$130,AD$132,0))</f>
        <v/>
      </c>
      <c r="AK75" s="333" t="str">
        <f>IF(OR($A75="",TYPE(VLOOKUP($A75,Centrum!$D$3:$M$130,10,0))&gt;3),"",VLOOKUP(VLOOKUP($A75,Centrum!$D$3:$M$130,10,0),Centrum!$A$3:$CB$130,AK$132,0))</f>
        <v/>
      </c>
      <c r="AL75" s="333" t="str">
        <f>IF(OR($A75="",TYPE(VLOOKUP($A75,Centrum!$D$3:$M$130,10,0))&gt;3),"",VLOOKUP(VLOOKUP($A75,Centrum!$D$3:$M$130,10,0),Centrum!$A$3:$CB$130,AL$132,0))</f>
        <v/>
      </c>
      <c r="AM75" s="333" t="str">
        <f>IF(OR($A75="",TYPE(VLOOKUP($A75,Centrum!$D$3:$M$130,10,0))&gt;3),"",VLOOKUP(VLOOKUP($A75,Centrum!$D$3:$M$130,10,0),Centrum!$A$3:$CB$130,AM$132,0))</f>
        <v/>
      </c>
      <c r="AT75" s="333" t="str">
        <f>IF(OR(OR($A75="",TYPE(VLOOKUP($A75,Centrum!$D$3:$M$130,10,0))&gt;3),$A$1&lt;4),"",VLOOKUP(VLOOKUP($A75,Centrum!$D$3:$M$130,10,0),Centrum!$A$3:$CB$130,AT$132,0))</f>
        <v/>
      </c>
      <c r="AU75" s="333" t="str">
        <f>IF(OR(OR($A75="",TYPE(VLOOKUP($A75,Centrum!$D$3:$M$130,10,0))&gt;3),$A$1&lt;4),"",VLOOKUP(VLOOKUP($A75,Centrum!$D$3:$M$130,10,0),Centrum!$A$3:$CB$130,AU$132,0))</f>
        <v/>
      </c>
      <c r="AV75" s="333" t="str">
        <f>IF(OR(OR($A75="",TYPE(VLOOKUP($A75,Centrum!$D$3:$M$130,10,0))&gt;3),$A$1&lt;4),"",VLOOKUP(VLOOKUP($A75,Centrum!$D$3:$M$130,10,0),Centrum!$A$3:$CB$130,AV$132,0))</f>
        <v/>
      </c>
      <c r="BC75" s="333" t="str">
        <f>IF(OR(OR($A75="",TYPE(VLOOKUP($A75,Centrum!$D$3:$M$130,10,0))&gt;3),$A$1&lt;5),"",VLOOKUP(VLOOKUP($A75,Centrum!$D$3:$M$130,10,0),Centrum!$A$3:$CB$130,BC$132,0))</f>
        <v/>
      </c>
      <c r="BD75" s="333" t="str">
        <f>IF(OR(OR($A75="",TYPE(VLOOKUP($A75,Centrum!$D$3:$M$130,10,0))&gt;3),$A$1&lt;5),"",VLOOKUP(VLOOKUP($A75,Centrum!$D$3:$M$130,10,0),Centrum!$A$3:$CB$130,BD$132,0))</f>
        <v/>
      </c>
      <c r="BE75" s="333" t="str">
        <f>IF(OR(OR($A75="",TYPE(VLOOKUP($A75,Centrum!$D$3:$M$130,10,0))&gt;3),$A$1&lt;5),"",VLOOKUP(VLOOKUP($A75,Centrum!$D$3:$M$130,10,0),Centrum!$A$3:$CB$130,BE$132,0))</f>
        <v/>
      </c>
      <c r="BL75" s="333" t="str">
        <f>IF(OR(OR($A75="",TYPE(VLOOKUP($A75,Centrum!$D$3:$M$130,10,0))&gt;3),$A$1&lt;6),"",VLOOKUP(VLOOKUP($A75,Centrum!$D$3:$M$130,10,0),Centrum!$A$3:$CB$130,BL$132,0))</f>
        <v/>
      </c>
      <c r="BM75" s="333" t="str">
        <f>IF(OR(OR($A75="",TYPE(VLOOKUP($A75,Centrum!$D$3:$M$130,10,0))&gt;3),$A$1&lt;6),"",VLOOKUP(VLOOKUP($A75,Centrum!$D$3:$M$130,10,0),Centrum!$A$3:$CB$130,BM$132,0))</f>
        <v/>
      </c>
      <c r="BN75" s="333" t="str">
        <f>IF(OR(OR($A75="",TYPE(VLOOKUP($A75,Centrum!$D$3:$M$130,10,0))&gt;3),$A$1&lt;6),"",VLOOKUP(VLOOKUP($A75,Centrum!$D$3:$M$130,10,0),Centrum!$A$3:$CB$130,BN$132,0))</f>
        <v/>
      </c>
    </row>
    <row r="76" spans="1:66" x14ac:dyDescent="0.25">
      <c r="A76" s="333" t="str">
        <f>Centrum!A76</f>
        <v/>
      </c>
      <c r="B76" s="439" t="str">
        <f>IF(OR($A76="",TYPE(VLOOKUP($A76,Centrum!$D$3:$M$130,10,0))&gt;3),"",VLOOKUP(VLOOKUP(A76,Centrum!$D$3:$M$130,10,0),Centrum!$A$3:$CB$130,B$132,0))</f>
        <v/>
      </c>
      <c r="C76" s="333" t="str">
        <f>IF(OR($A76="",TYPE(VLOOKUP($A76,Centrum!$D$3:$M$130,10,0))&gt;3),"",VLOOKUP($A76,Centrum!$D$3:$M$130,10,0))</f>
        <v/>
      </c>
      <c r="E76" s="333" t="str">
        <f>IF(OR($A76="",TYPE(VLOOKUP($A76,Centrum!$D$3:$M$130,10,0))&gt;3),"",VLOOKUP(VLOOKUP($A76,Centrum!$D$3:$M$130,10,0),Centrum!$A$3:$CB$130,E$132,0))</f>
        <v/>
      </c>
      <c r="F76" s="333" t="str">
        <f>IF(OR($A76="",TYPE(VLOOKUP($A76,Centrum!$D$3:$M$130,10,0))&gt;3),"",VLOOKUP(VLOOKUP($A76,Centrum!$D$3:$M$130,10,0),Centrum!$A$3:$CB$130,F$132,0))</f>
        <v/>
      </c>
      <c r="G76" s="333" t="str">
        <f>IF(OR($A76="",TYPE(VLOOKUP($A76,Centrum!$D$3:$M$130,10,0))&gt;3),"",VLOOKUP(VLOOKUP($A76,Centrum!$D$3:$M$130,10,0),Centrum!$A$3:$CB$130,G$132,0))</f>
        <v/>
      </c>
      <c r="H76" s="333" t="str">
        <f>IF($A76="","",VLOOKUP(VLOOKUP($A76,Centrum!$D$3:$M$130,10,0),Centrum!$A$3:$CB$130,H$132,0))</f>
        <v/>
      </c>
      <c r="I76" s="333" t="str">
        <f>IF($A76="","",VLOOKUP(VLOOKUP($A76,Centrum!$D$3:$M$130,10,0),Centrum!$A$3:$CB$130,I$132,0))</f>
        <v/>
      </c>
      <c r="J76" s="333" t="str">
        <f>IF(OR($A76="",TYPE(VLOOKUP($A76,Centrum!$D$3:$M$130,10,0))&gt;3),"",VLOOKUP(VLOOKUP($A76,Centrum!$D$3:$M$130,10,0),Centrum!$A$3:$CB$130,J$132,0))</f>
        <v/>
      </c>
      <c r="L76" s="333" t="str">
        <f>IF(OR($A76="",TYPE(VLOOKUP($A76,Centrum!$D$3:$M$130,10,0))&gt;3),"",VLOOKUP(VLOOKUP($A76,Centrum!$D$3:$M$130,10,0),Centrum!$A$3:$CB$130,L$132,0))</f>
        <v/>
      </c>
      <c r="M76" s="333" t="str">
        <f>IF(OR($A76="",TYPE(VLOOKUP($A76,Centrum!$D$3:$M$130,10,0))&gt;3),"",VLOOKUP(VLOOKUP($A76,Centrum!$D$3:$M$130,10,0),Centrum!$A$3:$CB$130,M$132,0))</f>
        <v/>
      </c>
      <c r="N76" s="333" t="str">
        <f>IF(OR($A76="",TYPE(VLOOKUP($A76,Centrum!$D$3:$M$130,10,0))&gt;3),"",VLOOKUP(VLOOKUP($A76,Centrum!$D$3:$M$130,10,0),Centrum!$A$3:$CB$130,N$132,0))</f>
        <v/>
      </c>
      <c r="O76" s="333" t="str">
        <f>IF(OR($A76="",TYPE(VLOOKUP($A76,Centrum!$D$3:$M$130,10,0))&gt;3),"",VLOOKUP(VLOOKUP($A76,Centrum!$D$3:$M$130,10,0),Centrum!$A$3:$CB$130,O$132,0))</f>
        <v/>
      </c>
      <c r="P76" s="333" t="str">
        <f>IF(OR($A76="",TYPE(VLOOKUP($A76,Centrum!$D$3:$M$130,10,0))&gt;3),"",VLOOKUP(VLOOKUP($A76,Centrum!$D$3:$M$130,10,0),Centrum!$A$3:$CB$130,P$132,0))</f>
        <v/>
      </c>
      <c r="Q76" s="333" t="str">
        <f>IF(OR($A76="",TYPE(VLOOKUP($A76,Centrum!$D$3:$M$130,10,0))&gt;3),"",VLOOKUP(VLOOKUP($A76,Centrum!$D$3:$M$130,10,0),Centrum!$A$3:$CB$130,Q$132,0))</f>
        <v/>
      </c>
      <c r="S76" s="333" t="str">
        <f>IF(OR($A76="",TYPE(VLOOKUP($A76,Centrum!$D$3:$M$130,10,0))&gt;3),"",VLOOKUP(VLOOKUP($A76,Centrum!$D$3:$M$130,10,0),Centrum!$A$3:$CB$130,S$132,0))</f>
        <v/>
      </c>
      <c r="T76" s="333" t="str">
        <f>IF(OR($A76="",TYPE(VLOOKUP($A76,Centrum!$D$3:$M$130,10,0))&gt;3),"",VLOOKUP(VLOOKUP($A76,Centrum!$D$3:$M$130,10,0),Centrum!$A$3:$CB$130,T$132,0))</f>
        <v/>
      </c>
      <c r="U76" s="333" t="str">
        <f>IF(OR($A76="",TYPE(VLOOKUP($A76,Centrum!$D$3:$M$130,10,0))&gt;3),"",VLOOKUP(VLOOKUP($A76,Centrum!$D$3:$M$130,10,0),Centrum!$A$3:$CB$130,U$132,0))</f>
        <v/>
      </c>
      <c r="AB76" s="333" t="str">
        <f>IF(OR($A76="",TYPE(VLOOKUP($A76,Centrum!$D$3:$M$130,10,0))&gt;3),"",VLOOKUP(VLOOKUP($A76,Centrum!$D$3:$M$130,10,0),Centrum!$A$3:$CB$130,AB$132,0))</f>
        <v/>
      </c>
      <c r="AC76" s="333" t="str">
        <f>IF(OR($A76="",TYPE(VLOOKUP($A76,Centrum!$D$3:$M$130,10,0))&gt;3),"",VLOOKUP(VLOOKUP($A76,Centrum!$D$3:$M$130,10,0),Centrum!$A$3:$CB$130,AC$132,0))</f>
        <v/>
      </c>
      <c r="AD76" s="333" t="str">
        <f>IF(OR($A76="",TYPE(VLOOKUP($A76,Centrum!$D$3:$M$130,10,0))&gt;3),"",VLOOKUP(VLOOKUP($A76,Centrum!$D$3:$M$130,10,0),Centrum!$A$3:$CB$130,AD$132,0))</f>
        <v/>
      </c>
      <c r="AK76" s="333" t="str">
        <f>IF(OR($A76="",TYPE(VLOOKUP($A76,Centrum!$D$3:$M$130,10,0))&gt;3),"",VLOOKUP(VLOOKUP($A76,Centrum!$D$3:$M$130,10,0),Centrum!$A$3:$CB$130,AK$132,0))</f>
        <v/>
      </c>
      <c r="AL76" s="333" t="str">
        <f>IF(OR($A76="",TYPE(VLOOKUP($A76,Centrum!$D$3:$M$130,10,0))&gt;3),"",VLOOKUP(VLOOKUP($A76,Centrum!$D$3:$M$130,10,0),Centrum!$A$3:$CB$130,AL$132,0))</f>
        <v/>
      </c>
      <c r="AM76" s="333" t="str">
        <f>IF(OR($A76="",TYPE(VLOOKUP($A76,Centrum!$D$3:$M$130,10,0))&gt;3),"",VLOOKUP(VLOOKUP($A76,Centrum!$D$3:$M$130,10,0),Centrum!$A$3:$CB$130,AM$132,0))</f>
        <v/>
      </c>
      <c r="AT76" s="333" t="str">
        <f>IF(OR(OR($A76="",TYPE(VLOOKUP($A76,Centrum!$D$3:$M$130,10,0))&gt;3),$A$1&lt;4),"",VLOOKUP(VLOOKUP($A76,Centrum!$D$3:$M$130,10,0),Centrum!$A$3:$CB$130,AT$132,0))</f>
        <v/>
      </c>
      <c r="AU76" s="333" t="str">
        <f>IF(OR(OR($A76="",TYPE(VLOOKUP($A76,Centrum!$D$3:$M$130,10,0))&gt;3),$A$1&lt;4),"",VLOOKUP(VLOOKUP($A76,Centrum!$D$3:$M$130,10,0),Centrum!$A$3:$CB$130,AU$132,0))</f>
        <v/>
      </c>
      <c r="AV76" s="333" t="str">
        <f>IF(OR(OR($A76="",TYPE(VLOOKUP($A76,Centrum!$D$3:$M$130,10,0))&gt;3),$A$1&lt;4),"",VLOOKUP(VLOOKUP($A76,Centrum!$D$3:$M$130,10,0),Centrum!$A$3:$CB$130,AV$132,0))</f>
        <v/>
      </c>
      <c r="BC76" s="333" t="str">
        <f>IF(OR(OR($A76="",TYPE(VLOOKUP($A76,Centrum!$D$3:$M$130,10,0))&gt;3),$A$1&lt;5),"",VLOOKUP(VLOOKUP($A76,Centrum!$D$3:$M$130,10,0),Centrum!$A$3:$CB$130,BC$132,0))</f>
        <v/>
      </c>
      <c r="BD76" s="333" t="str">
        <f>IF(OR(OR($A76="",TYPE(VLOOKUP($A76,Centrum!$D$3:$M$130,10,0))&gt;3),$A$1&lt;5),"",VLOOKUP(VLOOKUP($A76,Centrum!$D$3:$M$130,10,0),Centrum!$A$3:$CB$130,BD$132,0))</f>
        <v/>
      </c>
      <c r="BE76" s="333" t="str">
        <f>IF(OR(OR($A76="",TYPE(VLOOKUP($A76,Centrum!$D$3:$M$130,10,0))&gt;3),$A$1&lt;5),"",VLOOKUP(VLOOKUP($A76,Centrum!$D$3:$M$130,10,0),Centrum!$A$3:$CB$130,BE$132,0))</f>
        <v/>
      </c>
      <c r="BL76" s="333" t="str">
        <f>IF(OR(OR($A76="",TYPE(VLOOKUP($A76,Centrum!$D$3:$M$130,10,0))&gt;3),$A$1&lt;6),"",VLOOKUP(VLOOKUP($A76,Centrum!$D$3:$M$130,10,0),Centrum!$A$3:$CB$130,BL$132,0))</f>
        <v/>
      </c>
      <c r="BM76" s="333" t="str">
        <f>IF(OR(OR($A76="",TYPE(VLOOKUP($A76,Centrum!$D$3:$M$130,10,0))&gt;3),$A$1&lt;6),"",VLOOKUP(VLOOKUP($A76,Centrum!$D$3:$M$130,10,0),Centrum!$A$3:$CB$130,BM$132,0))</f>
        <v/>
      </c>
      <c r="BN76" s="333" t="str">
        <f>IF(OR(OR($A76="",TYPE(VLOOKUP($A76,Centrum!$D$3:$M$130,10,0))&gt;3),$A$1&lt;6),"",VLOOKUP(VLOOKUP($A76,Centrum!$D$3:$M$130,10,0),Centrum!$A$3:$CB$130,BN$132,0))</f>
        <v/>
      </c>
    </row>
    <row r="77" spans="1:66" x14ac:dyDescent="0.25">
      <c r="A77" s="333" t="str">
        <f>Centrum!A77</f>
        <v/>
      </c>
      <c r="B77" s="439" t="str">
        <f>IF(OR($A77="",TYPE(VLOOKUP($A77,Centrum!$D$3:$M$130,10,0))&gt;3),"",VLOOKUP(VLOOKUP(A77,Centrum!$D$3:$M$130,10,0),Centrum!$A$3:$CB$130,B$132,0))</f>
        <v/>
      </c>
      <c r="C77" s="333" t="str">
        <f>IF(OR($A77="",TYPE(VLOOKUP($A77,Centrum!$D$3:$M$130,10,0))&gt;3),"",VLOOKUP($A77,Centrum!$D$3:$M$130,10,0))</f>
        <v/>
      </c>
      <c r="E77" s="333" t="str">
        <f>IF(OR($A77="",TYPE(VLOOKUP($A77,Centrum!$D$3:$M$130,10,0))&gt;3),"",VLOOKUP(VLOOKUP($A77,Centrum!$D$3:$M$130,10,0),Centrum!$A$3:$CB$130,E$132,0))</f>
        <v/>
      </c>
      <c r="F77" s="333" t="str">
        <f>IF(OR($A77="",TYPE(VLOOKUP($A77,Centrum!$D$3:$M$130,10,0))&gt;3),"",VLOOKUP(VLOOKUP($A77,Centrum!$D$3:$M$130,10,0),Centrum!$A$3:$CB$130,F$132,0))</f>
        <v/>
      </c>
      <c r="G77" s="333" t="str">
        <f>IF(OR($A77="",TYPE(VLOOKUP($A77,Centrum!$D$3:$M$130,10,0))&gt;3),"",VLOOKUP(VLOOKUP($A77,Centrum!$D$3:$M$130,10,0),Centrum!$A$3:$CB$130,G$132,0))</f>
        <v/>
      </c>
      <c r="H77" s="333" t="str">
        <f>IF($A77="","",VLOOKUP(VLOOKUP($A77,Centrum!$D$3:$M$130,10,0),Centrum!$A$3:$CB$130,H$132,0))</f>
        <v/>
      </c>
      <c r="I77" s="333" t="str">
        <f>IF($A77="","",VLOOKUP(VLOOKUP($A77,Centrum!$D$3:$M$130,10,0),Centrum!$A$3:$CB$130,I$132,0))</f>
        <v/>
      </c>
      <c r="J77" s="333" t="str">
        <f>IF(OR($A77="",TYPE(VLOOKUP($A77,Centrum!$D$3:$M$130,10,0))&gt;3),"",VLOOKUP(VLOOKUP($A77,Centrum!$D$3:$M$130,10,0),Centrum!$A$3:$CB$130,J$132,0))</f>
        <v/>
      </c>
      <c r="L77" s="333" t="str">
        <f>IF(OR($A77="",TYPE(VLOOKUP($A77,Centrum!$D$3:$M$130,10,0))&gt;3),"",VLOOKUP(VLOOKUP($A77,Centrum!$D$3:$M$130,10,0),Centrum!$A$3:$CB$130,L$132,0))</f>
        <v/>
      </c>
      <c r="M77" s="333" t="str">
        <f>IF(OR($A77="",TYPE(VLOOKUP($A77,Centrum!$D$3:$M$130,10,0))&gt;3),"",VLOOKUP(VLOOKUP($A77,Centrum!$D$3:$M$130,10,0),Centrum!$A$3:$CB$130,M$132,0))</f>
        <v/>
      </c>
      <c r="N77" s="333" t="str">
        <f>IF(OR($A77="",TYPE(VLOOKUP($A77,Centrum!$D$3:$M$130,10,0))&gt;3),"",VLOOKUP(VLOOKUP($A77,Centrum!$D$3:$M$130,10,0),Centrum!$A$3:$CB$130,N$132,0))</f>
        <v/>
      </c>
      <c r="O77" s="333" t="str">
        <f>IF(OR($A77="",TYPE(VLOOKUP($A77,Centrum!$D$3:$M$130,10,0))&gt;3),"",VLOOKUP(VLOOKUP($A77,Centrum!$D$3:$M$130,10,0),Centrum!$A$3:$CB$130,O$132,0))</f>
        <v/>
      </c>
      <c r="P77" s="333" t="str">
        <f>IF(OR($A77="",TYPE(VLOOKUP($A77,Centrum!$D$3:$M$130,10,0))&gt;3),"",VLOOKUP(VLOOKUP($A77,Centrum!$D$3:$M$130,10,0),Centrum!$A$3:$CB$130,P$132,0))</f>
        <v/>
      </c>
      <c r="Q77" s="333" t="str">
        <f>IF(OR($A77="",TYPE(VLOOKUP($A77,Centrum!$D$3:$M$130,10,0))&gt;3),"",VLOOKUP(VLOOKUP($A77,Centrum!$D$3:$M$130,10,0),Centrum!$A$3:$CB$130,Q$132,0))</f>
        <v/>
      </c>
      <c r="S77" s="333" t="str">
        <f>IF(OR($A77="",TYPE(VLOOKUP($A77,Centrum!$D$3:$M$130,10,0))&gt;3),"",VLOOKUP(VLOOKUP($A77,Centrum!$D$3:$M$130,10,0),Centrum!$A$3:$CB$130,S$132,0))</f>
        <v/>
      </c>
      <c r="T77" s="333" t="str">
        <f>IF(OR($A77="",TYPE(VLOOKUP($A77,Centrum!$D$3:$M$130,10,0))&gt;3),"",VLOOKUP(VLOOKUP($A77,Centrum!$D$3:$M$130,10,0),Centrum!$A$3:$CB$130,T$132,0))</f>
        <v/>
      </c>
      <c r="U77" s="333" t="str">
        <f>IF(OR($A77="",TYPE(VLOOKUP($A77,Centrum!$D$3:$M$130,10,0))&gt;3),"",VLOOKUP(VLOOKUP($A77,Centrum!$D$3:$M$130,10,0),Centrum!$A$3:$CB$130,U$132,0))</f>
        <v/>
      </c>
      <c r="AB77" s="333" t="str">
        <f>IF(OR($A77="",TYPE(VLOOKUP($A77,Centrum!$D$3:$M$130,10,0))&gt;3),"",VLOOKUP(VLOOKUP($A77,Centrum!$D$3:$M$130,10,0),Centrum!$A$3:$CB$130,AB$132,0))</f>
        <v/>
      </c>
      <c r="AC77" s="333" t="str">
        <f>IF(OR($A77="",TYPE(VLOOKUP($A77,Centrum!$D$3:$M$130,10,0))&gt;3),"",VLOOKUP(VLOOKUP($A77,Centrum!$D$3:$M$130,10,0),Centrum!$A$3:$CB$130,AC$132,0))</f>
        <v/>
      </c>
      <c r="AD77" s="333" t="str">
        <f>IF(OR($A77="",TYPE(VLOOKUP($A77,Centrum!$D$3:$M$130,10,0))&gt;3),"",VLOOKUP(VLOOKUP($A77,Centrum!$D$3:$M$130,10,0),Centrum!$A$3:$CB$130,AD$132,0))</f>
        <v/>
      </c>
      <c r="AK77" s="333" t="str">
        <f>IF(OR($A77="",TYPE(VLOOKUP($A77,Centrum!$D$3:$M$130,10,0))&gt;3),"",VLOOKUP(VLOOKUP($A77,Centrum!$D$3:$M$130,10,0),Centrum!$A$3:$CB$130,AK$132,0))</f>
        <v/>
      </c>
      <c r="AL77" s="333" t="str">
        <f>IF(OR($A77="",TYPE(VLOOKUP($A77,Centrum!$D$3:$M$130,10,0))&gt;3),"",VLOOKUP(VLOOKUP($A77,Centrum!$D$3:$M$130,10,0),Centrum!$A$3:$CB$130,AL$132,0))</f>
        <v/>
      </c>
      <c r="AM77" s="333" t="str">
        <f>IF(OR($A77="",TYPE(VLOOKUP($A77,Centrum!$D$3:$M$130,10,0))&gt;3),"",VLOOKUP(VLOOKUP($A77,Centrum!$D$3:$M$130,10,0),Centrum!$A$3:$CB$130,AM$132,0))</f>
        <v/>
      </c>
      <c r="AT77" s="333" t="str">
        <f>IF(OR(OR($A77="",TYPE(VLOOKUP($A77,Centrum!$D$3:$M$130,10,0))&gt;3),$A$1&lt;4),"",VLOOKUP(VLOOKUP($A77,Centrum!$D$3:$M$130,10,0),Centrum!$A$3:$CB$130,AT$132,0))</f>
        <v/>
      </c>
      <c r="AU77" s="333" t="str">
        <f>IF(OR(OR($A77="",TYPE(VLOOKUP($A77,Centrum!$D$3:$M$130,10,0))&gt;3),$A$1&lt;4),"",VLOOKUP(VLOOKUP($A77,Centrum!$D$3:$M$130,10,0),Centrum!$A$3:$CB$130,AU$132,0))</f>
        <v/>
      </c>
      <c r="AV77" s="333" t="str">
        <f>IF(OR(OR($A77="",TYPE(VLOOKUP($A77,Centrum!$D$3:$M$130,10,0))&gt;3),$A$1&lt;4),"",VLOOKUP(VLOOKUP($A77,Centrum!$D$3:$M$130,10,0),Centrum!$A$3:$CB$130,AV$132,0))</f>
        <v/>
      </c>
      <c r="BC77" s="333" t="str">
        <f>IF(OR(OR($A77="",TYPE(VLOOKUP($A77,Centrum!$D$3:$M$130,10,0))&gt;3),$A$1&lt;5),"",VLOOKUP(VLOOKUP($A77,Centrum!$D$3:$M$130,10,0),Centrum!$A$3:$CB$130,BC$132,0))</f>
        <v/>
      </c>
      <c r="BD77" s="333" t="str">
        <f>IF(OR(OR($A77="",TYPE(VLOOKUP($A77,Centrum!$D$3:$M$130,10,0))&gt;3),$A$1&lt;5),"",VLOOKUP(VLOOKUP($A77,Centrum!$D$3:$M$130,10,0),Centrum!$A$3:$CB$130,BD$132,0))</f>
        <v/>
      </c>
      <c r="BE77" s="333" t="str">
        <f>IF(OR(OR($A77="",TYPE(VLOOKUP($A77,Centrum!$D$3:$M$130,10,0))&gt;3),$A$1&lt;5),"",VLOOKUP(VLOOKUP($A77,Centrum!$D$3:$M$130,10,0),Centrum!$A$3:$CB$130,BE$132,0))</f>
        <v/>
      </c>
      <c r="BL77" s="333" t="str">
        <f>IF(OR(OR($A77="",TYPE(VLOOKUP($A77,Centrum!$D$3:$M$130,10,0))&gt;3),$A$1&lt;6),"",VLOOKUP(VLOOKUP($A77,Centrum!$D$3:$M$130,10,0),Centrum!$A$3:$CB$130,BL$132,0))</f>
        <v/>
      </c>
      <c r="BM77" s="333" t="str">
        <f>IF(OR(OR($A77="",TYPE(VLOOKUP($A77,Centrum!$D$3:$M$130,10,0))&gt;3),$A$1&lt;6),"",VLOOKUP(VLOOKUP($A77,Centrum!$D$3:$M$130,10,0),Centrum!$A$3:$CB$130,BM$132,0))</f>
        <v/>
      </c>
      <c r="BN77" s="333" t="str">
        <f>IF(OR(OR($A77="",TYPE(VLOOKUP($A77,Centrum!$D$3:$M$130,10,0))&gt;3),$A$1&lt;6),"",VLOOKUP(VLOOKUP($A77,Centrum!$D$3:$M$130,10,0),Centrum!$A$3:$CB$130,BN$132,0))</f>
        <v/>
      </c>
    </row>
    <row r="78" spans="1:66" x14ac:dyDescent="0.25">
      <c r="A78" s="333" t="str">
        <f>Centrum!A78</f>
        <v/>
      </c>
      <c r="B78" s="439" t="str">
        <f>IF(OR($A78="",TYPE(VLOOKUP($A78,Centrum!$D$3:$M$130,10,0))&gt;3),"",VLOOKUP(VLOOKUP(A78,Centrum!$D$3:$M$130,10,0),Centrum!$A$3:$CB$130,B$132,0))</f>
        <v/>
      </c>
      <c r="C78" s="333" t="str">
        <f>IF(OR($A78="",TYPE(VLOOKUP($A78,Centrum!$D$3:$M$130,10,0))&gt;3),"",VLOOKUP($A78,Centrum!$D$3:$M$130,10,0))</f>
        <v/>
      </c>
      <c r="E78" s="333" t="str">
        <f>IF(OR($A78="",TYPE(VLOOKUP($A78,Centrum!$D$3:$M$130,10,0))&gt;3),"",VLOOKUP(VLOOKUP($A78,Centrum!$D$3:$M$130,10,0),Centrum!$A$3:$CB$130,E$132,0))</f>
        <v/>
      </c>
      <c r="F78" s="333" t="str">
        <f>IF(OR($A78="",TYPE(VLOOKUP($A78,Centrum!$D$3:$M$130,10,0))&gt;3),"",VLOOKUP(VLOOKUP($A78,Centrum!$D$3:$M$130,10,0),Centrum!$A$3:$CB$130,F$132,0))</f>
        <v/>
      </c>
      <c r="G78" s="333" t="str">
        <f>IF(OR($A78="",TYPE(VLOOKUP($A78,Centrum!$D$3:$M$130,10,0))&gt;3),"",VLOOKUP(VLOOKUP($A78,Centrum!$D$3:$M$130,10,0),Centrum!$A$3:$CB$130,G$132,0))</f>
        <v/>
      </c>
      <c r="H78" s="333" t="str">
        <f>IF($A78="","",VLOOKUP(VLOOKUP($A78,Centrum!$D$3:$M$130,10,0),Centrum!$A$3:$CB$130,H$132,0))</f>
        <v/>
      </c>
      <c r="I78" s="333" t="str">
        <f>IF($A78="","",VLOOKUP(VLOOKUP($A78,Centrum!$D$3:$M$130,10,0),Centrum!$A$3:$CB$130,I$132,0))</f>
        <v/>
      </c>
      <c r="J78" s="333" t="str">
        <f>IF(OR($A78="",TYPE(VLOOKUP($A78,Centrum!$D$3:$M$130,10,0))&gt;3),"",VLOOKUP(VLOOKUP($A78,Centrum!$D$3:$M$130,10,0),Centrum!$A$3:$CB$130,J$132,0))</f>
        <v/>
      </c>
      <c r="L78" s="333" t="str">
        <f>IF(OR($A78="",TYPE(VLOOKUP($A78,Centrum!$D$3:$M$130,10,0))&gt;3),"",VLOOKUP(VLOOKUP($A78,Centrum!$D$3:$M$130,10,0),Centrum!$A$3:$CB$130,L$132,0))</f>
        <v/>
      </c>
      <c r="M78" s="333" t="str">
        <f>IF(OR($A78="",TYPE(VLOOKUP($A78,Centrum!$D$3:$M$130,10,0))&gt;3),"",VLOOKUP(VLOOKUP($A78,Centrum!$D$3:$M$130,10,0),Centrum!$A$3:$CB$130,M$132,0))</f>
        <v/>
      </c>
      <c r="N78" s="333" t="str">
        <f>IF(OR($A78="",TYPE(VLOOKUP($A78,Centrum!$D$3:$M$130,10,0))&gt;3),"",VLOOKUP(VLOOKUP($A78,Centrum!$D$3:$M$130,10,0),Centrum!$A$3:$CB$130,N$132,0))</f>
        <v/>
      </c>
      <c r="O78" s="333" t="str">
        <f>IF(OR($A78="",TYPE(VLOOKUP($A78,Centrum!$D$3:$M$130,10,0))&gt;3),"",VLOOKUP(VLOOKUP($A78,Centrum!$D$3:$M$130,10,0),Centrum!$A$3:$CB$130,O$132,0))</f>
        <v/>
      </c>
      <c r="P78" s="333" t="str">
        <f>IF(OR($A78="",TYPE(VLOOKUP($A78,Centrum!$D$3:$M$130,10,0))&gt;3),"",VLOOKUP(VLOOKUP($A78,Centrum!$D$3:$M$130,10,0),Centrum!$A$3:$CB$130,P$132,0))</f>
        <v/>
      </c>
      <c r="Q78" s="333" t="str">
        <f>IF(OR($A78="",TYPE(VLOOKUP($A78,Centrum!$D$3:$M$130,10,0))&gt;3),"",VLOOKUP(VLOOKUP($A78,Centrum!$D$3:$M$130,10,0),Centrum!$A$3:$CB$130,Q$132,0))</f>
        <v/>
      </c>
      <c r="S78" s="333" t="str">
        <f>IF(OR($A78="",TYPE(VLOOKUP($A78,Centrum!$D$3:$M$130,10,0))&gt;3),"",VLOOKUP(VLOOKUP($A78,Centrum!$D$3:$M$130,10,0),Centrum!$A$3:$CB$130,S$132,0))</f>
        <v/>
      </c>
      <c r="T78" s="333" t="str">
        <f>IF(OR($A78="",TYPE(VLOOKUP($A78,Centrum!$D$3:$M$130,10,0))&gt;3),"",VLOOKUP(VLOOKUP($A78,Centrum!$D$3:$M$130,10,0),Centrum!$A$3:$CB$130,T$132,0))</f>
        <v/>
      </c>
      <c r="U78" s="333" t="str">
        <f>IF(OR($A78="",TYPE(VLOOKUP($A78,Centrum!$D$3:$M$130,10,0))&gt;3),"",VLOOKUP(VLOOKUP($A78,Centrum!$D$3:$M$130,10,0),Centrum!$A$3:$CB$130,U$132,0))</f>
        <v/>
      </c>
      <c r="AB78" s="333" t="str">
        <f>IF(OR($A78="",TYPE(VLOOKUP($A78,Centrum!$D$3:$M$130,10,0))&gt;3),"",VLOOKUP(VLOOKUP($A78,Centrum!$D$3:$M$130,10,0),Centrum!$A$3:$CB$130,AB$132,0))</f>
        <v/>
      </c>
      <c r="AC78" s="333" t="str">
        <f>IF(OR($A78="",TYPE(VLOOKUP($A78,Centrum!$D$3:$M$130,10,0))&gt;3),"",VLOOKUP(VLOOKUP($A78,Centrum!$D$3:$M$130,10,0),Centrum!$A$3:$CB$130,AC$132,0))</f>
        <v/>
      </c>
      <c r="AD78" s="333" t="str">
        <f>IF(OR($A78="",TYPE(VLOOKUP($A78,Centrum!$D$3:$M$130,10,0))&gt;3),"",VLOOKUP(VLOOKUP($A78,Centrum!$D$3:$M$130,10,0),Centrum!$A$3:$CB$130,AD$132,0))</f>
        <v/>
      </c>
      <c r="AK78" s="333" t="str">
        <f>IF(OR($A78="",TYPE(VLOOKUP($A78,Centrum!$D$3:$M$130,10,0))&gt;3),"",VLOOKUP(VLOOKUP($A78,Centrum!$D$3:$M$130,10,0),Centrum!$A$3:$CB$130,AK$132,0))</f>
        <v/>
      </c>
      <c r="AL78" s="333" t="str">
        <f>IF(OR($A78="",TYPE(VLOOKUP($A78,Centrum!$D$3:$M$130,10,0))&gt;3),"",VLOOKUP(VLOOKUP($A78,Centrum!$D$3:$M$130,10,0),Centrum!$A$3:$CB$130,AL$132,0))</f>
        <v/>
      </c>
      <c r="AM78" s="333" t="str">
        <f>IF(OR($A78="",TYPE(VLOOKUP($A78,Centrum!$D$3:$M$130,10,0))&gt;3),"",VLOOKUP(VLOOKUP($A78,Centrum!$D$3:$M$130,10,0),Centrum!$A$3:$CB$130,AM$132,0))</f>
        <v/>
      </c>
      <c r="AT78" s="333" t="str">
        <f>IF(OR(OR($A78="",TYPE(VLOOKUP($A78,Centrum!$D$3:$M$130,10,0))&gt;3),$A$1&lt;4),"",VLOOKUP(VLOOKUP($A78,Centrum!$D$3:$M$130,10,0),Centrum!$A$3:$CB$130,AT$132,0))</f>
        <v/>
      </c>
      <c r="AU78" s="333" t="str">
        <f>IF(OR(OR($A78="",TYPE(VLOOKUP($A78,Centrum!$D$3:$M$130,10,0))&gt;3),$A$1&lt;4),"",VLOOKUP(VLOOKUP($A78,Centrum!$D$3:$M$130,10,0),Centrum!$A$3:$CB$130,AU$132,0))</f>
        <v/>
      </c>
      <c r="AV78" s="333" t="str">
        <f>IF(OR(OR($A78="",TYPE(VLOOKUP($A78,Centrum!$D$3:$M$130,10,0))&gt;3),$A$1&lt;4),"",VLOOKUP(VLOOKUP($A78,Centrum!$D$3:$M$130,10,0),Centrum!$A$3:$CB$130,AV$132,0))</f>
        <v/>
      </c>
      <c r="BC78" s="333" t="str">
        <f>IF(OR(OR($A78="",TYPE(VLOOKUP($A78,Centrum!$D$3:$M$130,10,0))&gt;3),$A$1&lt;5),"",VLOOKUP(VLOOKUP($A78,Centrum!$D$3:$M$130,10,0),Centrum!$A$3:$CB$130,BC$132,0))</f>
        <v/>
      </c>
      <c r="BD78" s="333" t="str">
        <f>IF(OR(OR($A78="",TYPE(VLOOKUP($A78,Centrum!$D$3:$M$130,10,0))&gt;3),$A$1&lt;5),"",VLOOKUP(VLOOKUP($A78,Centrum!$D$3:$M$130,10,0),Centrum!$A$3:$CB$130,BD$132,0))</f>
        <v/>
      </c>
      <c r="BE78" s="333" t="str">
        <f>IF(OR(OR($A78="",TYPE(VLOOKUP($A78,Centrum!$D$3:$M$130,10,0))&gt;3),$A$1&lt;5),"",VLOOKUP(VLOOKUP($A78,Centrum!$D$3:$M$130,10,0),Centrum!$A$3:$CB$130,BE$132,0))</f>
        <v/>
      </c>
      <c r="BL78" s="333" t="str">
        <f>IF(OR(OR($A78="",TYPE(VLOOKUP($A78,Centrum!$D$3:$M$130,10,0))&gt;3),$A$1&lt;6),"",VLOOKUP(VLOOKUP($A78,Centrum!$D$3:$M$130,10,0),Centrum!$A$3:$CB$130,BL$132,0))</f>
        <v/>
      </c>
      <c r="BM78" s="333" t="str">
        <f>IF(OR(OR($A78="",TYPE(VLOOKUP($A78,Centrum!$D$3:$M$130,10,0))&gt;3),$A$1&lt;6),"",VLOOKUP(VLOOKUP($A78,Centrum!$D$3:$M$130,10,0),Centrum!$A$3:$CB$130,BM$132,0))</f>
        <v/>
      </c>
      <c r="BN78" s="333" t="str">
        <f>IF(OR(OR($A78="",TYPE(VLOOKUP($A78,Centrum!$D$3:$M$130,10,0))&gt;3),$A$1&lt;6),"",VLOOKUP(VLOOKUP($A78,Centrum!$D$3:$M$130,10,0),Centrum!$A$3:$CB$130,BN$132,0))</f>
        <v/>
      </c>
    </row>
    <row r="79" spans="1:66" x14ac:dyDescent="0.25">
      <c r="A79" s="333" t="str">
        <f>Centrum!A79</f>
        <v/>
      </c>
      <c r="B79" s="439" t="str">
        <f>IF(OR($A79="",TYPE(VLOOKUP($A79,Centrum!$D$3:$M$130,10,0))&gt;3),"",VLOOKUP(VLOOKUP(A79,Centrum!$D$3:$M$130,10,0),Centrum!$A$3:$CB$130,B$132,0))</f>
        <v/>
      </c>
      <c r="C79" s="333" t="str">
        <f>IF(OR($A79="",TYPE(VLOOKUP($A79,Centrum!$D$3:$M$130,10,0))&gt;3),"",VLOOKUP($A79,Centrum!$D$3:$M$130,10,0))</f>
        <v/>
      </c>
      <c r="E79" s="333" t="str">
        <f>IF(OR($A79="",TYPE(VLOOKUP($A79,Centrum!$D$3:$M$130,10,0))&gt;3),"",VLOOKUP(VLOOKUP($A79,Centrum!$D$3:$M$130,10,0),Centrum!$A$3:$CB$130,E$132,0))</f>
        <v/>
      </c>
      <c r="F79" s="333" t="str">
        <f>IF(OR($A79="",TYPE(VLOOKUP($A79,Centrum!$D$3:$M$130,10,0))&gt;3),"",VLOOKUP(VLOOKUP($A79,Centrum!$D$3:$M$130,10,0),Centrum!$A$3:$CB$130,F$132,0))</f>
        <v/>
      </c>
      <c r="G79" s="333" t="str">
        <f>IF(OR($A79="",TYPE(VLOOKUP($A79,Centrum!$D$3:$M$130,10,0))&gt;3),"",VLOOKUP(VLOOKUP($A79,Centrum!$D$3:$M$130,10,0),Centrum!$A$3:$CB$130,G$132,0))</f>
        <v/>
      </c>
      <c r="H79" s="333" t="str">
        <f>IF($A79="","",VLOOKUP(VLOOKUP($A79,Centrum!$D$3:$M$130,10,0),Centrum!$A$3:$CB$130,H$132,0))</f>
        <v/>
      </c>
      <c r="I79" s="333" t="str">
        <f>IF($A79="","",VLOOKUP(VLOOKUP($A79,Centrum!$D$3:$M$130,10,0),Centrum!$A$3:$CB$130,I$132,0))</f>
        <v/>
      </c>
      <c r="J79" s="333" t="str">
        <f>IF(OR($A79="",TYPE(VLOOKUP($A79,Centrum!$D$3:$M$130,10,0))&gt;3),"",VLOOKUP(VLOOKUP($A79,Centrum!$D$3:$M$130,10,0),Centrum!$A$3:$CB$130,J$132,0))</f>
        <v/>
      </c>
      <c r="L79" s="333" t="str">
        <f>IF(OR($A79="",TYPE(VLOOKUP($A79,Centrum!$D$3:$M$130,10,0))&gt;3),"",VLOOKUP(VLOOKUP($A79,Centrum!$D$3:$M$130,10,0),Centrum!$A$3:$CB$130,L$132,0))</f>
        <v/>
      </c>
      <c r="M79" s="333" t="str">
        <f>IF(OR($A79="",TYPE(VLOOKUP($A79,Centrum!$D$3:$M$130,10,0))&gt;3),"",VLOOKUP(VLOOKUP($A79,Centrum!$D$3:$M$130,10,0),Centrum!$A$3:$CB$130,M$132,0))</f>
        <v/>
      </c>
      <c r="N79" s="333" t="str">
        <f>IF(OR($A79="",TYPE(VLOOKUP($A79,Centrum!$D$3:$M$130,10,0))&gt;3),"",VLOOKUP(VLOOKUP($A79,Centrum!$D$3:$M$130,10,0),Centrum!$A$3:$CB$130,N$132,0))</f>
        <v/>
      </c>
      <c r="O79" s="333" t="str">
        <f>IF(OR($A79="",TYPE(VLOOKUP($A79,Centrum!$D$3:$M$130,10,0))&gt;3),"",VLOOKUP(VLOOKUP($A79,Centrum!$D$3:$M$130,10,0),Centrum!$A$3:$CB$130,O$132,0))</f>
        <v/>
      </c>
      <c r="P79" s="333" t="str">
        <f>IF(OR($A79="",TYPE(VLOOKUP($A79,Centrum!$D$3:$M$130,10,0))&gt;3),"",VLOOKUP(VLOOKUP($A79,Centrum!$D$3:$M$130,10,0),Centrum!$A$3:$CB$130,P$132,0))</f>
        <v/>
      </c>
      <c r="Q79" s="333" t="str">
        <f>IF(OR($A79="",TYPE(VLOOKUP($A79,Centrum!$D$3:$M$130,10,0))&gt;3),"",VLOOKUP(VLOOKUP($A79,Centrum!$D$3:$M$130,10,0),Centrum!$A$3:$CB$130,Q$132,0))</f>
        <v/>
      </c>
      <c r="S79" s="333" t="str">
        <f>IF(OR($A79="",TYPE(VLOOKUP($A79,Centrum!$D$3:$M$130,10,0))&gt;3),"",VLOOKUP(VLOOKUP($A79,Centrum!$D$3:$M$130,10,0),Centrum!$A$3:$CB$130,S$132,0))</f>
        <v/>
      </c>
      <c r="T79" s="333" t="str">
        <f>IF(OR($A79="",TYPE(VLOOKUP($A79,Centrum!$D$3:$M$130,10,0))&gt;3),"",VLOOKUP(VLOOKUP($A79,Centrum!$D$3:$M$130,10,0),Centrum!$A$3:$CB$130,T$132,0))</f>
        <v/>
      </c>
      <c r="U79" s="333" t="str">
        <f>IF(OR($A79="",TYPE(VLOOKUP($A79,Centrum!$D$3:$M$130,10,0))&gt;3),"",VLOOKUP(VLOOKUP($A79,Centrum!$D$3:$M$130,10,0),Centrum!$A$3:$CB$130,U$132,0))</f>
        <v/>
      </c>
      <c r="AB79" s="333" t="str">
        <f>IF(OR($A79="",TYPE(VLOOKUP($A79,Centrum!$D$3:$M$130,10,0))&gt;3),"",VLOOKUP(VLOOKUP($A79,Centrum!$D$3:$M$130,10,0),Centrum!$A$3:$CB$130,AB$132,0))</f>
        <v/>
      </c>
      <c r="AC79" s="333" t="str">
        <f>IF(OR($A79="",TYPE(VLOOKUP($A79,Centrum!$D$3:$M$130,10,0))&gt;3),"",VLOOKUP(VLOOKUP($A79,Centrum!$D$3:$M$130,10,0),Centrum!$A$3:$CB$130,AC$132,0))</f>
        <v/>
      </c>
      <c r="AD79" s="333" t="str">
        <f>IF(OR($A79="",TYPE(VLOOKUP($A79,Centrum!$D$3:$M$130,10,0))&gt;3),"",VLOOKUP(VLOOKUP($A79,Centrum!$D$3:$M$130,10,0),Centrum!$A$3:$CB$130,AD$132,0))</f>
        <v/>
      </c>
      <c r="AK79" s="333" t="str">
        <f>IF(OR($A79="",TYPE(VLOOKUP($A79,Centrum!$D$3:$M$130,10,0))&gt;3),"",VLOOKUP(VLOOKUP($A79,Centrum!$D$3:$M$130,10,0),Centrum!$A$3:$CB$130,AK$132,0))</f>
        <v/>
      </c>
      <c r="AL79" s="333" t="str">
        <f>IF(OR($A79="",TYPE(VLOOKUP($A79,Centrum!$D$3:$M$130,10,0))&gt;3),"",VLOOKUP(VLOOKUP($A79,Centrum!$D$3:$M$130,10,0),Centrum!$A$3:$CB$130,AL$132,0))</f>
        <v/>
      </c>
      <c r="AM79" s="333" t="str">
        <f>IF(OR($A79="",TYPE(VLOOKUP($A79,Centrum!$D$3:$M$130,10,0))&gt;3),"",VLOOKUP(VLOOKUP($A79,Centrum!$D$3:$M$130,10,0),Centrum!$A$3:$CB$130,AM$132,0))</f>
        <v/>
      </c>
      <c r="AT79" s="333" t="str">
        <f>IF(OR(OR($A79="",TYPE(VLOOKUP($A79,Centrum!$D$3:$M$130,10,0))&gt;3),$A$1&lt;4),"",VLOOKUP(VLOOKUP($A79,Centrum!$D$3:$M$130,10,0),Centrum!$A$3:$CB$130,AT$132,0))</f>
        <v/>
      </c>
      <c r="AU79" s="333" t="str">
        <f>IF(OR(OR($A79="",TYPE(VLOOKUP($A79,Centrum!$D$3:$M$130,10,0))&gt;3),$A$1&lt;4),"",VLOOKUP(VLOOKUP($A79,Centrum!$D$3:$M$130,10,0),Centrum!$A$3:$CB$130,AU$132,0))</f>
        <v/>
      </c>
      <c r="AV79" s="333" t="str">
        <f>IF(OR(OR($A79="",TYPE(VLOOKUP($A79,Centrum!$D$3:$M$130,10,0))&gt;3),$A$1&lt;4),"",VLOOKUP(VLOOKUP($A79,Centrum!$D$3:$M$130,10,0),Centrum!$A$3:$CB$130,AV$132,0))</f>
        <v/>
      </c>
      <c r="BC79" s="333" t="str">
        <f>IF(OR(OR($A79="",TYPE(VLOOKUP($A79,Centrum!$D$3:$M$130,10,0))&gt;3),$A$1&lt;5),"",VLOOKUP(VLOOKUP($A79,Centrum!$D$3:$M$130,10,0),Centrum!$A$3:$CB$130,BC$132,0))</f>
        <v/>
      </c>
      <c r="BD79" s="333" t="str">
        <f>IF(OR(OR($A79="",TYPE(VLOOKUP($A79,Centrum!$D$3:$M$130,10,0))&gt;3),$A$1&lt;5),"",VLOOKUP(VLOOKUP($A79,Centrum!$D$3:$M$130,10,0),Centrum!$A$3:$CB$130,BD$132,0))</f>
        <v/>
      </c>
      <c r="BE79" s="333" t="str">
        <f>IF(OR(OR($A79="",TYPE(VLOOKUP($A79,Centrum!$D$3:$M$130,10,0))&gt;3),$A$1&lt;5),"",VLOOKUP(VLOOKUP($A79,Centrum!$D$3:$M$130,10,0),Centrum!$A$3:$CB$130,BE$132,0))</f>
        <v/>
      </c>
      <c r="BL79" s="333" t="str">
        <f>IF(OR(OR($A79="",TYPE(VLOOKUP($A79,Centrum!$D$3:$M$130,10,0))&gt;3),$A$1&lt;6),"",VLOOKUP(VLOOKUP($A79,Centrum!$D$3:$M$130,10,0),Centrum!$A$3:$CB$130,BL$132,0))</f>
        <v/>
      </c>
      <c r="BM79" s="333" t="str">
        <f>IF(OR(OR($A79="",TYPE(VLOOKUP($A79,Centrum!$D$3:$M$130,10,0))&gt;3),$A$1&lt;6),"",VLOOKUP(VLOOKUP($A79,Centrum!$D$3:$M$130,10,0),Centrum!$A$3:$CB$130,BM$132,0))</f>
        <v/>
      </c>
      <c r="BN79" s="333" t="str">
        <f>IF(OR(OR($A79="",TYPE(VLOOKUP($A79,Centrum!$D$3:$M$130,10,0))&gt;3),$A$1&lt;6),"",VLOOKUP(VLOOKUP($A79,Centrum!$D$3:$M$130,10,0),Centrum!$A$3:$CB$130,BN$132,0))</f>
        <v/>
      </c>
    </row>
    <row r="80" spans="1:66" x14ac:dyDescent="0.25">
      <c r="A80" s="333" t="str">
        <f>Centrum!A80</f>
        <v/>
      </c>
      <c r="B80" s="439" t="str">
        <f>IF(OR($A80="",TYPE(VLOOKUP($A80,Centrum!$D$3:$M$130,10,0))&gt;3),"",VLOOKUP(VLOOKUP(A80,Centrum!$D$3:$M$130,10,0),Centrum!$A$3:$CB$130,B$132,0))</f>
        <v/>
      </c>
      <c r="C80" s="333" t="str">
        <f>IF(OR($A80="",TYPE(VLOOKUP($A80,Centrum!$D$3:$M$130,10,0))&gt;3),"",VLOOKUP($A80,Centrum!$D$3:$M$130,10,0))</f>
        <v/>
      </c>
      <c r="E80" s="333" t="str">
        <f>IF(OR($A80="",TYPE(VLOOKUP($A80,Centrum!$D$3:$M$130,10,0))&gt;3),"",VLOOKUP(VLOOKUP($A80,Centrum!$D$3:$M$130,10,0),Centrum!$A$3:$CB$130,E$132,0))</f>
        <v/>
      </c>
      <c r="F80" s="333" t="str">
        <f>IF(OR($A80="",TYPE(VLOOKUP($A80,Centrum!$D$3:$M$130,10,0))&gt;3),"",VLOOKUP(VLOOKUP($A80,Centrum!$D$3:$M$130,10,0),Centrum!$A$3:$CB$130,F$132,0))</f>
        <v/>
      </c>
      <c r="G80" s="333" t="str">
        <f>IF(OR($A80="",TYPE(VLOOKUP($A80,Centrum!$D$3:$M$130,10,0))&gt;3),"",VLOOKUP(VLOOKUP($A80,Centrum!$D$3:$M$130,10,0),Centrum!$A$3:$CB$130,G$132,0))</f>
        <v/>
      </c>
      <c r="H80" s="333" t="str">
        <f>IF($A80="","",VLOOKUP(VLOOKUP($A80,Centrum!$D$3:$M$130,10,0),Centrum!$A$3:$CB$130,H$132,0))</f>
        <v/>
      </c>
      <c r="I80" s="333" t="str">
        <f>IF($A80="","",VLOOKUP(VLOOKUP($A80,Centrum!$D$3:$M$130,10,0),Centrum!$A$3:$CB$130,I$132,0))</f>
        <v/>
      </c>
      <c r="J80" s="333" t="str">
        <f>IF(OR($A80="",TYPE(VLOOKUP($A80,Centrum!$D$3:$M$130,10,0))&gt;3),"",VLOOKUP(VLOOKUP($A80,Centrum!$D$3:$M$130,10,0),Centrum!$A$3:$CB$130,J$132,0))</f>
        <v/>
      </c>
      <c r="L80" s="333" t="str">
        <f>IF(OR($A80="",TYPE(VLOOKUP($A80,Centrum!$D$3:$M$130,10,0))&gt;3),"",VLOOKUP(VLOOKUP($A80,Centrum!$D$3:$M$130,10,0),Centrum!$A$3:$CB$130,L$132,0))</f>
        <v/>
      </c>
      <c r="M80" s="333" t="str">
        <f>IF(OR($A80="",TYPE(VLOOKUP($A80,Centrum!$D$3:$M$130,10,0))&gt;3),"",VLOOKUP(VLOOKUP($A80,Centrum!$D$3:$M$130,10,0),Centrum!$A$3:$CB$130,M$132,0))</f>
        <v/>
      </c>
      <c r="N80" s="333" t="str">
        <f>IF(OR($A80="",TYPE(VLOOKUP($A80,Centrum!$D$3:$M$130,10,0))&gt;3),"",VLOOKUP(VLOOKUP($A80,Centrum!$D$3:$M$130,10,0),Centrum!$A$3:$CB$130,N$132,0))</f>
        <v/>
      </c>
      <c r="O80" s="333" t="str">
        <f>IF(OR($A80="",TYPE(VLOOKUP($A80,Centrum!$D$3:$M$130,10,0))&gt;3),"",VLOOKUP(VLOOKUP($A80,Centrum!$D$3:$M$130,10,0),Centrum!$A$3:$CB$130,O$132,0))</f>
        <v/>
      </c>
      <c r="P80" s="333" t="str">
        <f>IF(OR($A80="",TYPE(VLOOKUP($A80,Centrum!$D$3:$M$130,10,0))&gt;3),"",VLOOKUP(VLOOKUP($A80,Centrum!$D$3:$M$130,10,0),Centrum!$A$3:$CB$130,P$132,0))</f>
        <v/>
      </c>
      <c r="Q80" s="333" t="str">
        <f>IF(OR($A80="",TYPE(VLOOKUP($A80,Centrum!$D$3:$M$130,10,0))&gt;3),"",VLOOKUP(VLOOKUP($A80,Centrum!$D$3:$M$130,10,0),Centrum!$A$3:$CB$130,Q$132,0))</f>
        <v/>
      </c>
      <c r="S80" s="333" t="str">
        <f>IF(OR($A80="",TYPE(VLOOKUP($A80,Centrum!$D$3:$M$130,10,0))&gt;3),"",VLOOKUP(VLOOKUP($A80,Centrum!$D$3:$M$130,10,0),Centrum!$A$3:$CB$130,S$132,0))</f>
        <v/>
      </c>
      <c r="T80" s="333" t="str">
        <f>IF(OR($A80="",TYPE(VLOOKUP($A80,Centrum!$D$3:$M$130,10,0))&gt;3),"",VLOOKUP(VLOOKUP($A80,Centrum!$D$3:$M$130,10,0),Centrum!$A$3:$CB$130,T$132,0))</f>
        <v/>
      </c>
      <c r="U80" s="333" t="str">
        <f>IF(OR($A80="",TYPE(VLOOKUP($A80,Centrum!$D$3:$M$130,10,0))&gt;3),"",VLOOKUP(VLOOKUP($A80,Centrum!$D$3:$M$130,10,0),Centrum!$A$3:$CB$130,U$132,0))</f>
        <v/>
      </c>
      <c r="AB80" s="333" t="str">
        <f>IF(OR($A80="",TYPE(VLOOKUP($A80,Centrum!$D$3:$M$130,10,0))&gt;3),"",VLOOKUP(VLOOKUP($A80,Centrum!$D$3:$M$130,10,0),Centrum!$A$3:$CB$130,AB$132,0))</f>
        <v/>
      </c>
      <c r="AC80" s="333" t="str">
        <f>IF(OR($A80="",TYPE(VLOOKUP($A80,Centrum!$D$3:$M$130,10,0))&gt;3),"",VLOOKUP(VLOOKUP($A80,Centrum!$D$3:$M$130,10,0),Centrum!$A$3:$CB$130,AC$132,0))</f>
        <v/>
      </c>
      <c r="AD80" s="333" t="str">
        <f>IF(OR($A80="",TYPE(VLOOKUP($A80,Centrum!$D$3:$M$130,10,0))&gt;3),"",VLOOKUP(VLOOKUP($A80,Centrum!$D$3:$M$130,10,0),Centrum!$A$3:$CB$130,AD$132,0))</f>
        <v/>
      </c>
      <c r="AK80" s="333" t="str">
        <f>IF(OR($A80="",TYPE(VLOOKUP($A80,Centrum!$D$3:$M$130,10,0))&gt;3),"",VLOOKUP(VLOOKUP($A80,Centrum!$D$3:$M$130,10,0),Centrum!$A$3:$CB$130,AK$132,0))</f>
        <v/>
      </c>
      <c r="AL80" s="333" t="str">
        <f>IF(OR($A80="",TYPE(VLOOKUP($A80,Centrum!$D$3:$M$130,10,0))&gt;3),"",VLOOKUP(VLOOKUP($A80,Centrum!$D$3:$M$130,10,0),Centrum!$A$3:$CB$130,AL$132,0))</f>
        <v/>
      </c>
      <c r="AM80" s="333" t="str">
        <f>IF(OR($A80="",TYPE(VLOOKUP($A80,Centrum!$D$3:$M$130,10,0))&gt;3),"",VLOOKUP(VLOOKUP($A80,Centrum!$D$3:$M$130,10,0),Centrum!$A$3:$CB$130,AM$132,0))</f>
        <v/>
      </c>
      <c r="AT80" s="333" t="str">
        <f>IF(OR(OR($A80="",TYPE(VLOOKUP($A80,Centrum!$D$3:$M$130,10,0))&gt;3),$A$1&lt;4),"",VLOOKUP(VLOOKUP($A80,Centrum!$D$3:$M$130,10,0),Centrum!$A$3:$CB$130,AT$132,0))</f>
        <v/>
      </c>
      <c r="AU80" s="333" t="str">
        <f>IF(OR(OR($A80="",TYPE(VLOOKUP($A80,Centrum!$D$3:$M$130,10,0))&gt;3),$A$1&lt;4),"",VLOOKUP(VLOOKUP($A80,Centrum!$D$3:$M$130,10,0),Centrum!$A$3:$CB$130,AU$132,0))</f>
        <v/>
      </c>
      <c r="AV80" s="333" t="str">
        <f>IF(OR(OR($A80="",TYPE(VLOOKUP($A80,Centrum!$D$3:$M$130,10,0))&gt;3),$A$1&lt;4),"",VLOOKUP(VLOOKUP($A80,Centrum!$D$3:$M$130,10,0),Centrum!$A$3:$CB$130,AV$132,0))</f>
        <v/>
      </c>
      <c r="BC80" s="333" t="str">
        <f>IF(OR(OR($A80="",TYPE(VLOOKUP($A80,Centrum!$D$3:$M$130,10,0))&gt;3),$A$1&lt;5),"",VLOOKUP(VLOOKUP($A80,Centrum!$D$3:$M$130,10,0),Centrum!$A$3:$CB$130,BC$132,0))</f>
        <v/>
      </c>
      <c r="BD80" s="333" t="str">
        <f>IF(OR(OR($A80="",TYPE(VLOOKUP($A80,Centrum!$D$3:$M$130,10,0))&gt;3),$A$1&lt;5),"",VLOOKUP(VLOOKUP($A80,Centrum!$D$3:$M$130,10,0),Centrum!$A$3:$CB$130,BD$132,0))</f>
        <v/>
      </c>
      <c r="BE80" s="333" t="str">
        <f>IF(OR(OR($A80="",TYPE(VLOOKUP($A80,Centrum!$D$3:$M$130,10,0))&gt;3),$A$1&lt;5),"",VLOOKUP(VLOOKUP($A80,Centrum!$D$3:$M$130,10,0),Centrum!$A$3:$CB$130,BE$132,0))</f>
        <v/>
      </c>
      <c r="BL80" s="333" t="str">
        <f>IF(OR(OR($A80="",TYPE(VLOOKUP($A80,Centrum!$D$3:$M$130,10,0))&gt;3),$A$1&lt;6),"",VLOOKUP(VLOOKUP($A80,Centrum!$D$3:$M$130,10,0),Centrum!$A$3:$CB$130,BL$132,0))</f>
        <v/>
      </c>
      <c r="BM80" s="333" t="str">
        <f>IF(OR(OR($A80="",TYPE(VLOOKUP($A80,Centrum!$D$3:$M$130,10,0))&gt;3),$A$1&lt;6),"",VLOOKUP(VLOOKUP($A80,Centrum!$D$3:$M$130,10,0),Centrum!$A$3:$CB$130,BM$132,0))</f>
        <v/>
      </c>
      <c r="BN80" s="333" t="str">
        <f>IF(OR(OR($A80="",TYPE(VLOOKUP($A80,Centrum!$D$3:$M$130,10,0))&gt;3),$A$1&lt;6),"",VLOOKUP(VLOOKUP($A80,Centrum!$D$3:$M$130,10,0),Centrum!$A$3:$CB$130,BN$132,0))</f>
        <v/>
      </c>
    </row>
    <row r="81" spans="1:66" x14ac:dyDescent="0.25">
      <c r="A81" s="333" t="str">
        <f>Centrum!A81</f>
        <v/>
      </c>
      <c r="B81" s="439" t="str">
        <f>IF(OR($A81="",TYPE(VLOOKUP($A81,Centrum!$D$3:$M$130,10,0))&gt;3),"",VLOOKUP(VLOOKUP(A81,Centrum!$D$3:$M$130,10,0),Centrum!$A$3:$CB$130,B$132,0))</f>
        <v/>
      </c>
      <c r="C81" s="333" t="str">
        <f>IF(OR($A81="",TYPE(VLOOKUP($A81,Centrum!$D$3:$M$130,10,0))&gt;3),"",VLOOKUP($A81,Centrum!$D$3:$M$130,10,0))</f>
        <v/>
      </c>
      <c r="E81" s="333" t="str">
        <f>IF(OR($A81="",TYPE(VLOOKUP($A81,Centrum!$D$3:$M$130,10,0))&gt;3),"",VLOOKUP(VLOOKUP($A81,Centrum!$D$3:$M$130,10,0),Centrum!$A$3:$CB$130,E$132,0))</f>
        <v/>
      </c>
      <c r="F81" s="333" t="str">
        <f>IF(OR($A81="",TYPE(VLOOKUP($A81,Centrum!$D$3:$M$130,10,0))&gt;3),"",VLOOKUP(VLOOKUP($A81,Centrum!$D$3:$M$130,10,0),Centrum!$A$3:$CB$130,F$132,0))</f>
        <v/>
      </c>
      <c r="G81" s="333" t="str">
        <f>IF(OR($A81="",TYPE(VLOOKUP($A81,Centrum!$D$3:$M$130,10,0))&gt;3),"",VLOOKUP(VLOOKUP($A81,Centrum!$D$3:$M$130,10,0),Centrum!$A$3:$CB$130,G$132,0))</f>
        <v/>
      </c>
      <c r="H81" s="333" t="str">
        <f>IF($A81="","",VLOOKUP(VLOOKUP($A81,Centrum!$D$3:$M$130,10,0),Centrum!$A$3:$CB$130,H$132,0))</f>
        <v/>
      </c>
      <c r="I81" s="333" t="str">
        <f>IF($A81="","",VLOOKUP(VLOOKUP($A81,Centrum!$D$3:$M$130,10,0),Centrum!$A$3:$CB$130,I$132,0))</f>
        <v/>
      </c>
      <c r="J81" s="333" t="str">
        <f>IF(OR($A81="",TYPE(VLOOKUP($A81,Centrum!$D$3:$M$130,10,0))&gt;3),"",VLOOKUP(VLOOKUP($A81,Centrum!$D$3:$M$130,10,0),Centrum!$A$3:$CB$130,J$132,0))</f>
        <v/>
      </c>
      <c r="L81" s="333" t="str">
        <f>IF(OR($A81="",TYPE(VLOOKUP($A81,Centrum!$D$3:$M$130,10,0))&gt;3),"",VLOOKUP(VLOOKUP($A81,Centrum!$D$3:$M$130,10,0),Centrum!$A$3:$CB$130,L$132,0))</f>
        <v/>
      </c>
      <c r="M81" s="333" t="str">
        <f>IF(OR($A81="",TYPE(VLOOKUP($A81,Centrum!$D$3:$M$130,10,0))&gt;3),"",VLOOKUP(VLOOKUP($A81,Centrum!$D$3:$M$130,10,0),Centrum!$A$3:$CB$130,M$132,0))</f>
        <v/>
      </c>
      <c r="N81" s="333" t="str">
        <f>IF(OR($A81="",TYPE(VLOOKUP($A81,Centrum!$D$3:$M$130,10,0))&gt;3),"",VLOOKUP(VLOOKUP($A81,Centrum!$D$3:$M$130,10,0),Centrum!$A$3:$CB$130,N$132,0))</f>
        <v/>
      </c>
      <c r="O81" s="333" t="str">
        <f>IF(OR($A81="",TYPE(VLOOKUP($A81,Centrum!$D$3:$M$130,10,0))&gt;3),"",VLOOKUP(VLOOKUP($A81,Centrum!$D$3:$M$130,10,0),Centrum!$A$3:$CB$130,O$132,0))</f>
        <v/>
      </c>
      <c r="P81" s="333" t="str">
        <f>IF(OR($A81="",TYPE(VLOOKUP($A81,Centrum!$D$3:$M$130,10,0))&gt;3),"",VLOOKUP(VLOOKUP($A81,Centrum!$D$3:$M$130,10,0),Centrum!$A$3:$CB$130,P$132,0))</f>
        <v/>
      </c>
      <c r="Q81" s="333" t="str">
        <f>IF(OR($A81="",TYPE(VLOOKUP($A81,Centrum!$D$3:$M$130,10,0))&gt;3),"",VLOOKUP(VLOOKUP($A81,Centrum!$D$3:$M$130,10,0),Centrum!$A$3:$CB$130,Q$132,0))</f>
        <v/>
      </c>
      <c r="S81" s="333" t="str">
        <f>IF(OR($A81="",TYPE(VLOOKUP($A81,Centrum!$D$3:$M$130,10,0))&gt;3),"",VLOOKUP(VLOOKUP($A81,Centrum!$D$3:$M$130,10,0),Centrum!$A$3:$CB$130,S$132,0))</f>
        <v/>
      </c>
      <c r="T81" s="333" t="str">
        <f>IF(OR($A81="",TYPE(VLOOKUP($A81,Centrum!$D$3:$M$130,10,0))&gt;3),"",VLOOKUP(VLOOKUP($A81,Centrum!$D$3:$M$130,10,0),Centrum!$A$3:$CB$130,T$132,0))</f>
        <v/>
      </c>
      <c r="U81" s="333" t="str">
        <f>IF(OR($A81="",TYPE(VLOOKUP($A81,Centrum!$D$3:$M$130,10,0))&gt;3),"",VLOOKUP(VLOOKUP($A81,Centrum!$D$3:$M$130,10,0),Centrum!$A$3:$CB$130,U$132,0))</f>
        <v/>
      </c>
      <c r="AB81" s="333" t="str">
        <f>IF(OR($A81="",TYPE(VLOOKUP($A81,Centrum!$D$3:$M$130,10,0))&gt;3),"",VLOOKUP(VLOOKUP($A81,Centrum!$D$3:$M$130,10,0),Centrum!$A$3:$CB$130,AB$132,0))</f>
        <v/>
      </c>
      <c r="AC81" s="333" t="str">
        <f>IF(OR($A81="",TYPE(VLOOKUP($A81,Centrum!$D$3:$M$130,10,0))&gt;3),"",VLOOKUP(VLOOKUP($A81,Centrum!$D$3:$M$130,10,0),Centrum!$A$3:$CB$130,AC$132,0))</f>
        <v/>
      </c>
      <c r="AD81" s="333" t="str">
        <f>IF(OR($A81="",TYPE(VLOOKUP($A81,Centrum!$D$3:$M$130,10,0))&gt;3),"",VLOOKUP(VLOOKUP($A81,Centrum!$D$3:$M$130,10,0),Centrum!$A$3:$CB$130,AD$132,0))</f>
        <v/>
      </c>
      <c r="AK81" s="333" t="str">
        <f>IF(OR($A81="",TYPE(VLOOKUP($A81,Centrum!$D$3:$M$130,10,0))&gt;3),"",VLOOKUP(VLOOKUP($A81,Centrum!$D$3:$M$130,10,0),Centrum!$A$3:$CB$130,AK$132,0))</f>
        <v/>
      </c>
      <c r="AL81" s="333" t="str">
        <f>IF(OR($A81="",TYPE(VLOOKUP($A81,Centrum!$D$3:$M$130,10,0))&gt;3),"",VLOOKUP(VLOOKUP($A81,Centrum!$D$3:$M$130,10,0),Centrum!$A$3:$CB$130,AL$132,0))</f>
        <v/>
      </c>
      <c r="AM81" s="333" t="str">
        <f>IF(OR($A81="",TYPE(VLOOKUP($A81,Centrum!$D$3:$M$130,10,0))&gt;3),"",VLOOKUP(VLOOKUP($A81,Centrum!$D$3:$M$130,10,0),Centrum!$A$3:$CB$130,AM$132,0))</f>
        <v/>
      </c>
      <c r="AT81" s="333" t="str">
        <f>IF(OR(OR($A81="",TYPE(VLOOKUP($A81,Centrum!$D$3:$M$130,10,0))&gt;3),$A$1&lt;4),"",VLOOKUP(VLOOKUP($A81,Centrum!$D$3:$M$130,10,0),Centrum!$A$3:$CB$130,AT$132,0))</f>
        <v/>
      </c>
      <c r="AU81" s="333" t="str">
        <f>IF(OR(OR($A81="",TYPE(VLOOKUP($A81,Centrum!$D$3:$M$130,10,0))&gt;3),$A$1&lt;4),"",VLOOKUP(VLOOKUP($A81,Centrum!$D$3:$M$130,10,0),Centrum!$A$3:$CB$130,AU$132,0))</f>
        <v/>
      </c>
      <c r="AV81" s="333" t="str">
        <f>IF(OR(OR($A81="",TYPE(VLOOKUP($A81,Centrum!$D$3:$M$130,10,0))&gt;3),$A$1&lt;4),"",VLOOKUP(VLOOKUP($A81,Centrum!$D$3:$M$130,10,0),Centrum!$A$3:$CB$130,AV$132,0))</f>
        <v/>
      </c>
      <c r="BC81" s="333" t="str">
        <f>IF(OR(OR($A81="",TYPE(VLOOKUP($A81,Centrum!$D$3:$M$130,10,0))&gt;3),$A$1&lt;5),"",VLOOKUP(VLOOKUP($A81,Centrum!$D$3:$M$130,10,0),Centrum!$A$3:$CB$130,BC$132,0))</f>
        <v/>
      </c>
      <c r="BD81" s="333" t="str">
        <f>IF(OR(OR($A81="",TYPE(VLOOKUP($A81,Centrum!$D$3:$M$130,10,0))&gt;3),$A$1&lt;5),"",VLOOKUP(VLOOKUP($A81,Centrum!$D$3:$M$130,10,0),Centrum!$A$3:$CB$130,BD$132,0))</f>
        <v/>
      </c>
      <c r="BE81" s="333" t="str">
        <f>IF(OR(OR($A81="",TYPE(VLOOKUP($A81,Centrum!$D$3:$M$130,10,0))&gt;3),$A$1&lt;5),"",VLOOKUP(VLOOKUP($A81,Centrum!$D$3:$M$130,10,0),Centrum!$A$3:$CB$130,BE$132,0))</f>
        <v/>
      </c>
      <c r="BL81" s="333" t="str">
        <f>IF(OR(OR($A81="",TYPE(VLOOKUP($A81,Centrum!$D$3:$M$130,10,0))&gt;3),$A$1&lt;6),"",VLOOKUP(VLOOKUP($A81,Centrum!$D$3:$M$130,10,0),Centrum!$A$3:$CB$130,BL$132,0))</f>
        <v/>
      </c>
      <c r="BM81" s="333" t="str">
        <f>IF(OR(OR($A81="",TYPE(VLOOKUP($A81,Centrum!$D$3:$M$130,10,0))&gt;3),$A$1&lt;6),"",VLOOKUP(VLOOKUP($A81,Centrum!$D$3:$M$130,10,0),Centrum!$A$3:$CB$130,BM$132,0))</f>
        <v/>
      </c>
      <c r="BN81" s="333" t="str">
        <f>IF(OR(OR($A81="",TYPE(VLOOKUP($A81,Centrum!$D$3:$M$130,10,0))&gt;3),$A$1&lt;6),"",VLOOKUP(VLOOKUP($A81,Centrum!$D$3:$M$130,10,0),Centrum!$A$3:$CB$130,BN$132,0))</f>
        <v/>
      </c>
    </row>
    <row r="82" spans="1:66" x14ac:dyDescent="0.25">
      <c r="A82" s="333" t="str">
        <f>Centrum!A82</f>
        <v/>
      </c>
      <c r="B82" s="439" t="str">
        <f>IF(OR($A82="",TYPE(VLOOKUP($A82,Centrum!$D$3:$M$130,10,0))&gt;3),"",VLOOKUP(VLOOKUP(A82,Centrum!$D$3:$M$130,10,0),Centrum!$A$3:$CB$130,B$132,0))</f>
        <v/>
      </c>
      <c r="C82" s="333" t="str">
        <f>IF(OR($A82="",TYPE(VLOOKUP($A82,Centrum!$D$3:$M$130,10,0))&gt;3),"",VLOOKUP($A82,Centrum!$D$3:$M$130,10,0))</f>
        <v/>
      </c>
      <c r="E82" s="333" t="str">
        <f>IF(OR($A82="",TYPE(VLOOKUP($A82,Centrum!$D$3:$M$130,10,0))&gt;3),"",VLOOKUP(VLOOKUP($A82,Centrum!$D$3:$M$130,10,0),Centrum!$A$3:$CB$130,E$132,0))</f>
        <v/>
      </c>
      <c r="F82" s="333" t="str">
        <f>IF(OR($A82="",TYPE(VLOOKUP($A82,Centrum!$D$3:$M$130,10,0))&gt;3),"",VLOOKUP(VLOOKUP($A82,Centrum!$D$3:$M$130,10,0),Centrum!$A$3:$CB$130,F$132,0))</f>
        <v/>
      </c>
      <c r="G82" s="333" t="str">
        <f>IF(OR($A82="",TYPE(VLOOKUP($A82,Centrum!$D$3:$M$130,10,0))&gt;3),"",VLOOKUP(VLOOKUP($A82,Centrum!$D$3:$M$130,10,0),Centrum!$A$3:$CB$130,G$132,0))</f>
        <v/>
      </c>
      <c r="H82" s="333" t="str">
        <f>IF($A82="","",VLOOKUP(VLOOKUP($A82,Centrum!$D$3:$M$130,10,0),Centrum!$A$3:$CB$130,H$132,0))</f>
        <v/>
      </c>
      <c r="I82" s="333" t="str">
        <f>IF($A82="","",VLOOKUP(VLOOKUP($A82,Centrum!$D$3:$M$130,10,0),Centrum!$A$3:$CB$130,I$132,0))</f>
        <v/>
      </c>
      <c r="J82" s="333" t="str">
        <f>IF(OR($A82="",TYPE(VLOOKUP($A82,Centrum!$D$3:$M$130,10,0))&gt;3),"",VLOOKUP(VLOOKUP($A82,Centrum!$D$3:$M$130,10,0),Centrum!$A$3:$CB$130,J$132,0))</f>
        <v/>
      </c>
      <c r="L82" s="333" t="str">
        <f>IF(OR($A82="",TYPE(VLOOKUP($A82,Centrum!$D$3:$M$130,10,0))&gt;3),"",VLOOKUP(VLOOKUP($A82,Centrum!$D$3:$M$130,10,0),Centrum!$A$3:$CB$130,L$132,0))</f>
        <v/>
      </c>
      <c r="M82" s="333" t="str">
        <f>IF(OR($A82="",TYPE(VLOOKUP($A82,Centrum!$D$3:$M$130,10,0))&gt;3),"",VLOOKUP(VLOOKUP($A82,Centrum!$D$3:$M$130,10,0),Centrum!$A$3:$CB$130,M$132,0))</f>
        <v/>
      </c>
      <c r="N82" s="333" t="str">
        <f>IF(OR($A82="",TYPE(VLOOKUP($A82,Centrum!$D$3:$M$130,10,0))&gt;3),"",VLOOKUP(VLOOKUP($A82,Centrum!$D$3:$M$130,10,0),Centrum!$A$3:$CB$130,N$132,0))</f>
        <v/>
      </c>
      <c r="O82" s="333" t="str">
        <f>IF(OR($A82="",TYPE(VLOOKUP($A82,Centrum!$D$3:$M$130,10,0))&gt;3),"",VLOOKUP(VLOOKUP($A82,Centrum!$D$3:$M$130,10,0),Centrum!$A$3:$CB$130,O$132,0))</f>
        <v/>
      </c>
      <c r="P82" s="333" t="str">
        <f>IF(OR($A82="",TYPE(VLOOKUP($A82,Centrum!$D$3:$M$130,10,0))&gt;3),"",VLOOKUP(VLOOKUP($A82,Centrum!$D$3:$M$130,10,0),Centrum!$A$3:$CB$130,P$132,0))</f>
        <v/>
      </c>
      <c r="Q82" s="333" t="str">
        <f>IF(OR($A82="",TYPE(VLOOKUP($A82,Centrum!$D$3:$M$130,10,0))&gt;3),"",VLOOKUP(VLOOKUP($A82,Centrum!$D$3:$M$130,10,0),Centrum!$A$3:$CB$130,Q$132,0))</f>
        <v/>
      </c>
      <c r="S82" s="333" t="str">
        <f>IF(OR($A82="",TYPE(VLOOKUP($A82,Centrum!$D$3:$M$130,10,0))&gt;3),"",VLOOKUP(VLOOKUP($A82,Centrum!$D$3:$M$130,10,0),Centrum!$A$3:$CB$130,S$132,0))</f>
        <v/>
      </c>
      <c r="T82" s="333" t="str">
        <f>IF(OR($A82="",TYPE(VLOOKUP($A82,Centrum!$D$3:$M$130,10,0))&gt;3),"",VLOOKUP(VLOOKUP($A82,Centrum!$D$3:$M$130,10,0),Centrum!$A$3:$CB$130,T$132,0))</f>
        <v/>
      </c>
      <c r="U82" s="333" t="str">
        <f>IF(OR($A82="",TYPE(VLOOKUP($A82,Centrum!$D$3:$M$130,10,0))&gt;3),"",VLOOKUP(VLOOKUP($A82,Centrum!$D$3:$M$130,10,0),Centrum!$A$3:$CB$130,U$132,0))</f>
        <v/>
      </c>
      <c r="AB82" s="333" t="str">
        <f>IF(OR($A82="",TYPE(VLOOKUP($A82,Centrum!$D$3:$M$130,10,0))&gt;3),"",VLOOKUP(VLOOKUP($A82,Centrum!$D$3:$M$130,10,0),Centrum!$A$3:$CB$130,AB$132,0))</f>
        <v/>
      </c>
      <c r="AC82" s="333" t="str">
        <f>IF(OR($A82="",TYPE(VLOOKUP($A82,Centrum!$D$3:$M$130,10,0))&gt;3),"",VLOOKUP(VLOOKUP($A82,Centrum!$D$3:$M$130,10,0),Centrum!$A$3:$CB$130,AC$132,0))</f>
        <v/>
      </c>
      <c r="AD82" s="333" t="str">
        <f>IF(OR($A82="",TYPE(VLOOKUP($A82,Centrum!$D$3:$M$130,10,0))&gt;3),"",VLOOKUP(VLOOKUP($A82,Centrum!$D$3:$M$130,10,0),Centrum!$A$3:$CB$130,AD$132,0))</f>
        <v/>
      </c>
      <c r="AK82" s="333" t="str">
        <f>IF(OR($A82="",TYPE(VLOOKUP($A82,Centrum!$D$3:$M$130,10,0))&gt;3),"",VLOOKUP(VLOOKUP($A82,Centrum!$D$3:$M$130,10,0),Centrum!$A$3:$CB$130,AK$132,0))</f>
        <v/>
      </c>
      <c r="AL82" s="333" t="str">
        <f>IF(OR($A82="",TYPE(VLOOKUP($A82,Centrum!$D$3:$M$130,10,0))&gt;3),"",VLOOKUP(VLOOKUP($A82,Centrum!$D$3:$M$130,10,0),Centrum!$A$3:$CB$130,AL$132,0))</f>
        <v/>
      </c>
      <c r="AM82" s="333" t="str">
        <f>IF(OR($A82="",TYPE(VLOOKUP($A82,Centrum!$D$3:$M$130,10,0))&gt;3),"",VLOOKUP(VLOOKUP($A82,Centrum!$D$3:$M$130,10,0),Centrum!$A$3:$CB$130,AM$132,0))</f>
        <v/>
      </c>
      <c r="AT82" s="333" t="str">
        <f>IF(OR(OR($A82="",TYPE(VLOOKUP($A82,Centrum!$D$3:$M$130,10,0))&gt;3),$A$1&lt;4),"",VLOOKUP(VLOOKUP($A82,Centrum!$D$3:$M$130,10,0),Centrum!$A$3:$CB$130,AT$132,0))</f>
        <v/>
      </c>
      <c r="AU82" s="333" t="str">
        <f>IF(OR(OR($A82="",TYPE(VLOOKUP($A82,Centrum!$D$3:$M$130,10,0))&gt;3),$A$1&lt;4),"",VLOOKUP(VLOOKUP($A82,Centrum!$D$3:$M$130,10,0),Centrum!$A$3:$CB$130,AU$132,0))</f>
        <v/>
      </c>
      <c r="AV82" s="333" t="str">
        <f>IF(OR(OR($A82="",TYPE(VLOOKUP($A82,Centrum!$D$3:$M$130,10,0))&gt;3),$A$1&lt;4),"",VLOOKUP(VLOOKUP($A82,Centrum!$D$3:$M$130,10,0),Centrum!$A$3:$CB$130,AV$132,0))</f>
        <v/>
      </c>
      <c r="BC82" s="333" t="str">
        <f>IF(OR(OR($A82="",TYPE(VLOOKUP($A82,Centrum!$D$3:$M$130,10,0))&gt;3),$A$1&lt;5),"",VLOOKUP(VLOOKUP($A82,Centrum!$D$3:$M$130,10,0),Centrum!$A$3:$CB$130,BC$132,0))</f>
        <v/>
      </c>
      <c r="BD82" s="333" t="str">
        <f>IF(OR(OR($A82="",TYPE(VLOOKUP($A82,Centrum!$D$3:$M$130,10,0))&gt;3),$A$1&lt;5),"",VLOOKUP(VLOOKUP($A82,Centrum!$D$3:$M$130,10,0),Centrum!$A$3:$CB$130,BD$132,0))</f>
        <v/>
      </c>
      <c r="BE82" s="333" t="str">
        <f>IF(OR(OR($A82="",TYPE(VLOOKUP($A82,Centrum!$D$3:$M$130,10,0))&gt;3),$A$1&lt;5),"",VLOOKUP(VLOOKUP($A82,Centrum!$D$3:$M$130,10,0),Centrum!$A$3:$CB$130,BE$132,0))</f>
        <v/>
      </c>
      <c r="BL82" s="333" t="str">
        <f>IF(OR(OR($A82="",TYPE(VLOOKUP($A82,Centrum!$D$3:$M$130,10,0))&gt;3),$A$1&lt;6),"",VLOOKUP(VLOOKUP($A82,Centrum!$D$3:$M$130,10,0),Centrum!$A$3:$CB$130,BL$132,0))</f>
        <v/>
      </c>
      <c r="BM82" s="333" t="str">
        <f>IF(OR(OR($A82="",TYPE(VLOOKUP($A82,Centrum!$D$3:$M$130,10,0))&gt;3),$A$1&lt;6),"",VLOOKUP(VLOOKUP($A82,Centrum!$D$3:$M$130,10,0),Centrum!$A$3:$CB$130,BM$132,0))</f>
        <v/>
      </c>
      <c r="BN82" s="333" t="str">
        <f>IF(OR(OR($A82="",TYPE(VLOOKUP($A82,Centrum!$D$3:$M$130,10,0))&gt;3),$A$1&lt;6),"",VLOOKUP(VLOOKUP($A82,Centrum!$D$3:$M$130,10,0),Centrum!$A$3:$CB$130,BN$132,0))</f>
        <v/>
      </c>
    </row>
    <row r="83" spans="1:66" x14ac:dyDescent="0.25">
      <c r="A83" s="333" t="str">
        <f>Centrum!A83</f>
        <v/>
      </c>
      <c r="B83" s="439" t="str">
        <f>IF(OR($A83="",TYPE(VLOOKUP($A83,Centrum!$D$3:$M$130,10,0))&gt;3),"",VLOOKUP(VLOOKUP(A83,Centrum!$D$3:$M$130,10,0),Centrum!$A$3:$CB$130,B$132,0))</f>
        <v/>
      </c>
      <c r="C83" s="333" t="str">
        <f>IF(OR($A83="",TYPE(VLOOKUP($A83,Centrum!$D$3:$M$130,10,0))&gt;3),"",VLOOKUP($A83,Centrum!$D$3:$M$130,10,0))</f>
        <v/>
      </c>
      <c r="E83" s="333" t="str">
        <f>IF(OR($A83="",TYPE(VLOOKUP($A83,Centrum!$D$3:$M$130,10,0))&gt;3),"",VLOOKUP(VLOOKUP($A83,Centrum!$D$3:$M$130,10,0),Centrum!$A$3:$CB$130,E$132,0))</f>
        <v/>
      </c>
      <c r="F83" s="333" t="str">
        <f>IF(OR($A83="",TYPE(VLOOKUP($A83,Centrum!$D$3:$M$130,10,0))&gt;3),"",VLOOKUP(VLOOKUP($A83,Centrum!$D$3:$M$130,10,0),Centrum!$A$3:$CB$130,F$132,0))</f>
        <v/>
      </c>
      <c r="G83" s="333" t="str">
        <f>IF(OR($A83="",TYPE(VLOOKUP($A83,Centrum!$D$3:$M$130,10,0))&gt;3),"",VLOOKUP(VLOOKUP($A83,Centrum!$D$3:$M$130,10,0),Centrum!$A$3:$CB$130,G$132,0))</f>
        <v/>
      </c>
      <c r="H83" s="333" t="str">
        <f>IF($A83="","",VLOOKUP(VLOOKUP($A83,Centrum!$D$3:$M$130,10,0),Centrum!$A$3:$CB$130,H$132,0))</f>
        <v/>
      </c>
      <c r="I83" s="333" t="str">
        <f>IF($A83="","",VLOOKUP(VLOOKUP($A83,Centrum!$D$3:$M$130,10,0),Centrum!$A$3:$CB$130,I$132,0))</f>
        <v/>
      </c>
      <c r="J83" s="333" t="str">
        <f>IF(OR($A83="",TYPE(VLOOKUP($A83,Centrum!$D$3:$M$130,10,0))&gt;3),"",VLOOKUP(VLOOKUP($A83,Centrum!$D$3:$M$130,10,0),Centrum!$A$3:$CB$130,J$132,0))</f>
        <v/>
      </c>
      <c r="L83" s="333" t="str">
        <f>IF(OR($A83="",TYPE(VLOOKUP($A83,Centrum!$D$3:$M$130,10,0))&gt;3),"",VLOOKUP(VLOOKUP($A83,Centrum!$D$3:$M$130,10,0),Centrum!$A$3:$CB$130,L$132,0))</f>
        <v/>
      </c>
      <c r="M83" s="333" t="str">
        <f>IF(OR($A83="",TYPE(VLOOKUP($A83,Centrum!$D$3:$M$130,10,0))&gt;3),"",VLOOKUP(VLOOKUP($A83,Centrum!$D$3:$M$130,10,0),Centrum!$A$3:$CB$130,M$132,0))</f>
        <v/>
      </c>
      <c r="N83" s="333" t="str">
        <f>IF(OR($A83="",TYPE(VLOOKUP($A83,Centrum!$D$3:$M$130,10,0))&gt;3),"",VLOOKUP(VLOOKUP($A83,Centrum!$D$3:$M$130,10,0),Centrum!$A$3:$CB$130,N$132,0))</f>
        <v/>
      </c>
      <c r="O83" s="333" t="str">
        <f>IF(OR($A83="",TYPE(VLOOKUP($A83,Centrum!$D$3:$M$130,10,0))&gt;3),"",VLOOKUP(VLOOKUP($A83,Centrum!$D$3:$M$130,10,0),Centrum!$A$3:$CB$130,O$132,0))</f>
        <v/>
      </c>
      <c r="P83" s="333" t="str">
        <f>IF(OR($A83="",TYPE(VLOOKUP($A83,Centrum!$D$3:$M$130,10,0))&gt;3),"",VLOOKUP(VLOOKUP($A83,Centrum!$D$3:$M$130,10,0),Centrum!$A$3:$CB$130,P$132,0))</f>
        <v/>
      </c>
      <c r="Q83" s="333" t="str">
        <f>IF(OR($A83="",TYPE(VLOOKUP($A83,Centrum!$D$3:$M$130,10,0))&gt;3),"",VLOOKUP(VLOOKUP($A83,Centrum!$D$3:$M$130,10,0),Centrum!$A$3:$CB$130,Q$132,0))</f>
        <v/>
      </c>
      <c r="S83" s="333" t="str">
        <f>IF(OR($A83="",TYPE(VLOOKUP($A83,Centrum!$D$3:$M$130,10,0))&gt;3),"",VLOOKUP(VLOOKUP($A83,Centrum!$D$3:$M$130,10,0),Centrum!$A$3:$CB$130,S$132,0))</f>
        <v/>
      </c>
      <c r="T83" s="333" t="str">
        <f>IF(OR($A83="",TYPE(VLOOKUP($A83,Centrum!$D$3:$M$130,10,0))&gt;3),"",VLOOKUP(VLOOKUP($A83,Centrum!$D$3:$M$130,10,0),Centrum!$A$3:$CB$130,T$132,0))</f>
        <v/>
      </c>
      <c r="U83" s="333" t="str">
        <f>IF(OR($A83="",TYPE(VLOOKUP($A83,Centrum!$D$3:$M$130,10,0))&gt;3),"",VLOOKUP(VLOOKUP($A83,Centrum!$D$3:$M$130,10,0),Centrum!$A$3:$CB$130,U$132,0))</f>
        <v/>
      </c>
      <c r="AB83" s="333" t="str">
        <f>IF(OR($A83="",TYPE(VLOOKUP($A83,Centrum!$D$3:$M$130,10,0))&gt;3),"",VLOOKUP(VLOOKUP($A83,Centrum!$D$3:$M$130,10,0),Centrum!$A$3:$CB$130,AB$132,0))</f>
        <v/>
      </c>
      <c r="AC83" s="333" t="str">
        <f>IF(OR($A83="",TYPE(VLOOKUP($A83,Centrum!$D$3:$M$130,10,0))&gt;3),"",VLOOKUP(VLOOKUP($A83,Centrum!$D$3:$M$130,10,0),Centrum!$A$3:$CB$130,AC$132,0))</f>
        <v/>
      </c>
      <c r="AD83" s="333" t="str">
        <f>IF(OR($A83="",TYPE(VLOOKUP($A83,Centrum!$D$3:$M$130,10,0))&gt;3),"",VLOOKUP(VLOOKUP($A83,Centrum!$D$3:$M$130,10,0),Centrum!$A$3:$CB$130,AD$132,0))</f>
        <v/>
      </c>
      <c r="AK83" s="333" t="str">
        <f>IF(OR($A83="",TYPE(VLOOKUP($A83,Centrum!$D$3:$M$130,10,0))&gt;3),"",VLOOKUP(VLOOKUP($A83,Centrum!$D$3:$M$130,10,0),Centrum!$A$3:$CB$130,AK$132,0))</f>
        <v/>
      </c>
      <c r="AL83" s="333" t="str">
        <f>IF(OR($A83="",TYPE(VLOOKUP($A83,Centrum!$D$3:$M$130,10,0))&gt;3),"",VLOOKUP(VLOOKUP($A83,Centrum!$D$3:$M$130,10,0),Centrum!$A$3:$CB$130,AL$132,0))</f>
        <v/>
      </c>
      <c r="AM83" s="333" t="str">
        <f>IF(OR($A83="",TYPE(VLOOKUP($A83,Centrum!$D$3:$M$130,10,0))&gt;3),"",VLOOKUP(VLOOKUP($A83,Centrum!$D$3:$M$130,10,0),Centrum!$A$3:$CB$130,AM$132,0))</f>
        <v/>
      </c>
      <c r="AT83" s="333" t="str">
        <f>IF(OR(OR($A83="",TYPE(VLOOKUP($A83,Centrum!$D$3:$M$130,10,0))&gt;3),$A$1&lt;4),"",VLOOKUP(VLOOKUP($A83,Centrum!$D$3:$M$130,10,0),Centrum!$A$3:$CB$130,AT$132,0))</f>
        <v/>
      </c>
      <c r="AU83" s="333" t="str">
        <f>IF(OR(OR($A83="",TYPE(VLOOKUP($A83,Centrum!$D$3:$M$130,10,0))&gt;3),$A$1&lt;4),"",VLOOKUP(VLOOKUP($A83,Centrum!$D$3:$M$130,10,0),Centrum!$A$3:$CB$130,AU$132,0))</f>
        <v/>
      </c>
      <c r="AV83" s="333" t="str">
        <f>IF(OR(OR($A83="",TYPE(VLOOKUP($A83,Centrum!$D$3:$M$130,10,0))&gt;3),$A$1&lt;4),"",VLOOKUP(VLOOKUP($A83,Centrum!$D$3:$M$130,10,0),Centrum!$A$3:$CB$130,AV$132,0))</f>
        <v/>
      </c>
      <c r="BC83" s="333" t="str">
        <f>IF(OR(OR($A83="",TYPE(VLOOKUP($A83,Centrum!$D$3:$M$130,10,0))&gt;3),$A$1&lt;5),"",VLOOKUP(VLOOKUP($A83,Centrum!$D$3:$M$130,10,0),Centrum!$A$3:$CB$130,BC$132,0))</f>
        <v/>
      </c>
      <c r="BD83" s="333" t="str">
        <f>IF(OR(OR($A83="",TYPE(VLOOKUP($A83,Centrum!$D$3:$M$130,10,0))&gt;3),$A$1&lt;5),"",VLOOKUP(VLOOKUP($A83,Centrum!$D$3:$M$130,10,0),Centrum!$A$3:$CB$130,BD$132,0))</f>
        <v/>
      </c>
      <c r="BE83" s="333" t="str">
        <f>IF(OR(OR($A83="",TYPE(VLOOKUP($A83,Centrum!$D$3:$M$130,10,0))&gt;3),$A$1&lt;5),"",VLOOKUP(VLOOKUP($A83,Centrum!$D$3:$M$130,10,0),Centrum!$A$3:$CB$130,BE$132,0))</f>
        <v/>
      </c>
      <c r="BL83" s="333" t="str">
        <f>IF(OR(OR($A83="",TYPE(VLOOKUP($A83,Centrum!$D$3:$M$130,10,0))&gt;3),$A$1&lt;6),"",VLOOKUP(VLOOKUP($A83,Centrum!$D$3:$M$130,10,0),Centrum!$A$3:$CB$130,BL$132,0))</f>
        <v/>
      </c>
      <c r="BM83" s="333" t="str">
        <f>IF(OR(OR($A83="",TYPE(VLOOKUP($A83,Centrum!$D$3:$M$130,10,0))&gt;3),$A$1&lt;6),"",VLOOKUP(VLOOKUP($A83,Centrum!$D$3:$M$130,10,0),Centrum!$A$3:$CB$130,BM$132,0))</f>
        <v/>
      </c>
      <c r="BN83" s="333" t="str">
        <f>IF(OR(OR($A83="",TYPE(VLOOKUP($A83,Centrum!$D$3:$M$130,10,0))&gt;3),$A$1&lt;6),"",VLOOKUP(VLOOKUP($A83,Centrum!$D$3:$M$130,10,0),Centrum!$A$3:$CB$130,BN$132,0))</f>
        <v/>
      </c>
    </row>
    <row r="84" spans="1:66" x14ac:dyDescent="0.25">
      <c r="A84" s="333" t="str">
        <f>Centrum!A84</f>
        <v/>
      </c>
      <c r="B84" s="439" t="str">
        <f>IF(OR($A84="",TYPE(VLOOKUP($A84,Centrum!$D$3:$M$130,10,0))&gt;3),"",VLOOKUP(VLOOKUP(A84,Centrum!$D$3:$M$130,10,0),Centrum!$A$3:$CB$130,B$132,0))</f>
        <v/>
      </c>
      <c r="C84" s="333" t="str">
        <f>IF(OR($A84="",TYPE(VLOOKUP($A84,Centrum!$D$3:$M$130,10,0))&gt;3),"",VLOOKUP($A84,Centrum!$D$3:$M$130,10,0))</f>
        <v/>
      </c>
      <c r="E84" s="333" t="str">
        <f>IF(OR($A84="",TYPE(VLOOKUP($A84,Centrum!$D$3:$M$130,10,0))&gt;3),"",VLOOKUP(VLOOKUP($A84,Centrum!$D$3:$M$130,10,0),Centrum!$A$3:$CB$130,E$132,0))</f>
        <v/>
      </c>
      <c r="F84" s="333" t="str">
        <f>IF(OR($A84="",TYPE(VLOOKUP($A84,Centrum!$D$3:$M$130,10,0))&gt;3),"",VLOOKUP(VLOOKUP($A84,Centrum!$D$3:$M$130,10,0),Centrum!$A$3:$CB$130,F$132,0))</f>
        <v/>
      </c>
      <c r="G84" s="333" t="str">
        <f>IF(OR($A84="",TYPE(VLOOKUP($A84,Centrum!$D$3:$M$130,10,0))&gt;3),"",VLOOKUP(VLOOKUP($A84,Centrum!$D$3:$M$130,10,0),Centrum!$A$3:$CB$130,G$132,0))</f>
        <v/>
      </c>
      <c r="H84" s="333" t="str">
        <f>IF($A84="","",VLOOKUP(VLOOKUP($A84,Centrum!$D$3:$M$130,10,0),Centrum!$A$3:$CB$130,H$132,0))</f>
        <v/>
      </c>
      <c r="I84" s="333" t="str">
        <f>IF($A84="","",VLOOKUP(VLOOKUP($A84,Centrum!$D$3:$M$130,10,0),Centrum!$A$3:$CB$130,I$132,0))</f>
        <v/>
      </c>
      <c r="J84" s="333" t="str">
        <f>IF(OR($A84="",TYPE(VLOOKUP($A84,Centrum!$D$3:$M$130,10,0))&gt;3),"",VLOOKUP(VLOOKUP($A84,Centrum!$D$3:$M$130,10,0),Centrum!$A$3:$CB$130,J$132,0))</f>
        <v/>
      </c>
      <c r="L84" s="333" t="str">
        <f>IF(OR($A84="",TYPE(VLOOKUP($A84,Centrum!$D$3:$M$130,10,0))&gt;3),"",VLOOKUP(VLOOKUP($A84,Centrum!$D$3:$M$130,10,0),Centrum!$A$3:$CB$130,L$132,0))</f>
        <v/>
      </c>
      <c r="M84" s="333" t="str">
        <f>IF(OR($A84="",TYPE(VLOOKUP($A84,Centrum!$D$3:$M$130,10,0))&gt;3),"",VLOOKUP(VLOOKUP($A84,Centrum!$D$3:$M$130,10,0),Centrum!$A$3:$CB$130,M$132,0))</f>
        <v/>
      </c>
      <c r="N84" s="333" t="str">
        <f>IF(OR($A84="",TYPE(VLOOKUP($A84,Centrum!$D$3:$M$130,10,0))&gt;3),"",VLOOKUP(VLOOKUP($A84,Centrum!$D$3:$M$130,10,0),Centrum!$A$3:$CB$130,N$132,0))</f>
        <v/>
      </c>
      <c r="O84" s="333" t="str">
        <f>IF(OR($A84="",TYPE(VLOOKUP($A84,Centrum!$D$3:$M$130,10,0))&gt;3),"",VLOOKUP(VLOOKUP($A84,Centrum!$D$3:$M$130,10,0),Centrum!$A$3:$CB$130,O$132,0))</f>
        <v/>
      </c>
      <c r="P84" s="333" t="str">
        <f>IF(OR($A84="",TYPE(VLOOKUP($A84,Centrum!$D$3:$M$130,10,0))&gt;3),"",VLOOKUP(VLOOKUP($A84,Centrum!$D$3:$M$130,10,0),Centrum!$A$3:$CB$130,P$132,0))</f>
        <v/>
      </c>
      <c r="Q84" s="333" t="str">
        <f>IF(OR($A84="",TYPE(VLOOKUP($A84,Centrum!$D$3:$M$130,10,0))&gt;3),"",VLOOKUP(VLOOKUP($A84,Centrum!$D$3:$M$130,10,0),Centrum!$A$3:$CB$130,Q$132,0))</f>
        <v/>
      </c>
      <c r="S84" s="333" t="str">
        <f>IF(OR($A84="",TYPE(VLOOKUP($A84,Centrum!$D$3:$M$130,10,0))&gt;3),"",VLOOKUP(VLOOKUP($A84,Centrum!$D$3:$M$130,10,0),Centrum!$A$3:$CB$130,S$132,0))</f>
        <v/>
      </c>
      <c r="T84" s="333" t="str">
        <f>IF(OR($A84="",TYPE(VLOOKUP($A84,Centrum!$D$3:$M$130,10,0))&gt;3),"",VLOOKUP(VLOOKUP($A84,Centrum!$D$3:$M$130,10,0),Centrum!$A$3:$CB$130,T$132,0))</f>
        <v/>
      </c>
      <c r="U84" s="333" t="str">
        <f>IF(OR($A84="",TYPE(VLOOKUP($A84,Centrum!$D$3:$M$130,10,0))&gt;3),"",VLOOKUP(VLOOKUP($A84,Centrum!$D$3:$M$130,10,0),Centrum!$A$3:$CB$130,U$132,0))</f>
        <v/>
      </c>
      <c r="AB84" s="333" t="str">
        <f>IF(OR($A84="",TYPE(VLOOKUP($A84,Centrum!$D$3:$M$130,10,0))&gt;3),"",VLOOKUP(VLOOKUP($A84,Centrum!$D$3:$M$130,10,0),Centrum!$A$3:$CB$130,AB$132,0))</f>
        <v/>
      </c>
      <c r="AC84" s="333" t="str">
        <f>IF(OR($A84="",TYPE(VLOOKUP($A84,Centrum!$D$3:$M$130,10,0))&gt;3),"",VLOOKUP(VLOOKUP($A84,Centrum!$D$3:$M$130,10,0),Centrum!$A$3:$CB$130,AC$132,0))</f>
        <v/>
      </c>
      <c r="AD84" s="333" t="str">
        <f>IF(OR($A84="",TYPE(VLOOKUP($A84,Centrum!$D$3:$M$130,10,0))&gt;3),"",VLOOKUP(VLOOKUP($A84,Centrum!$D$3:$M$130,10,0),Centrum!$A$3:$CB$130,AD$132,0))</f>
        <v/>
      </c>
      <c r="AK84" s="333" t="str">
        <f>IF(OR($A84="",TYPE(VLOOKUP($A84,Centrum!$D$3:$M$130,10,0))&gt;3),"",VLOOKUP(VLOOKUP($A84,Centrum!$D$3:$M$130,10,0),Centrum!$A$3:$CB$130,AK$132,0))</f>
        <v/>
      </c>
      <c r="AL84" s="333" t="str">
        <f>IF(OR($A84="",TYPE(VLOOKUP($A84,Centrum!$D$3:$M$130,10,0))&gt;3),"",VLOOKUP(VLOOKUP($A84,Centrum!$D$3:$M$130,10,0),Centrum!$A$3:$CB$130,AL$132,0))</f>
        <v/>
      </c>
      <c r="AM84" s="333" t="str">
        <f>IF(OR($A84="",TYPE(VLOOKUP($A84,Centrum!$D$3:$M$130,10,0))&gt;3),"",VLOOKUP(VLOOKUP($A84,Centrum!$D$3:$M$130,10,0),Centrum!$A$3:$CB$130,AM$132,0))</f>
        <v/>
      </c>
      <c r="AT84" s="333" t="str">
        <f>IF(OR(OR($A84="",TYPE(VLOOKUP($A84,Centrum!$D$3:$M$130,10,0))&gt;3),$A$1&lt;4),"",VLOOKUP(VLOOKUP($A84,Centrum!$D$3:$M$130,10,0),Centrum!$A$3:$CB$130,AT$132,0))</f>
        <v/>
      </c>
      <c r="AU84" s="333" t="str">
        <f>IF(OR(OR($A84="",TYPE(VLOOKUP($A84,Centrum!$D$3:$M$130,10,0))&gt;3),$A$1&lt;4),"",VLOOKUP(VLOOKUP($A84,Centrum!$D$3:$M$130,10,0),Centrum!$A$3:$CB$130,AU$132,0))</f>
        <v/>
      </c>
      <c r="AV84" s="333" t="str">
        <f>IF(OR(OR($A84="",TYPE(VLOOKUP($A84,Centrum!$D$3:$M$130,10,0))&gt;3),$A$1&lt;4),"",VLOOKUP(VLOOKUP($A84,Centrum!$D$3:$M$130,10,0),Centrum!$A$3:$CB$130,AV$132,0))</f>
        <v/>
      </c>
      <c r="BC84" s="333" t="str">
        <f>IF(OR(OR($A84="",TYPE(VLOOKUP($A84,Centrum!$D$3:$M$130,10,0))&gt;3),$A$1&lt;5),"",VLOOKUP(VLOOKUP($A84,Centrum!$D$3:$M$130,10,0),Centrum!$A$3:$CB$130,BC$132,0))</f>
        <v/>
      </c>
      <c r="BD84" s="333" t="str">
        <f>IF(OR(OR($A84="",TYPE(VLOOKUP($A84,Centrum!$D$3:$M$130,10,0))&gt;3),$A$1&lt;5),"",VLOOKUP(VLOOKUP($A84,Centrum!$D$3:$M$130,10,0),Centrum!$A$3:$CB$130,BD$132,0))</f>
        <v/>
      </c>
      <c r="BE84" s="333" t="str">
        <f>IF(OR(OR($A84="",TYPE(VLOOKUP($A84,Centrum!$D$3:$M$130,10,0))&gt;3),$A$1&lt;5),"",VLOOKUP(VLOOKUP($A84,Centrum!$D$3:$M$130,10,0),Centrum!$A$3:$CB$130,BE$132,0))</f>
        <v/>
      </c>
      <c r="BL84" s="333" t="str">
        <f>IF(OR(OR($A84="",TYPE(VLOOKUP($A84,Centrum!$D$3:$M$130,10,0))&gt;3),$A$1&lt;6),"",VLOOKUP(VLOOKUP($A84,Centrum!$D$3:$M$130,10,0),Centrum!$A$3:$CB$130,BL$132,0))</f>
        <v/>
      </c>
      <c r="BM84" s="333" t="str">
        <f>IF(OR(OR($A84="",TYPE(VLOOKUP($A84,Centrum!$D$3:$M$130,10,0))&gt;3),$A$1&lt;6),"",VLOOKUP(VLOOKUP($A84,Centrum!$D$3:$M$130,10,0),Centrum!$A$3:$CB$130,BM$132,0))</f>
        <v/>
      </c>
      <c r="BN84" s="333" t="str">
        <f>IF(OR(OR($A84="",TYPE(VLOOKUP($A84,Centrum!$D$3:$M$130,10,0))&gt;3),$A$1&lt;6),"",VLOOKUP(VLOOKUP($A84,Centrum!$D$3:$M$130,10,0),Centrum!$A$3:$CB$130,BN$132,0))</f>
        <v/>
      </c>
    </row>
    <row r="85" spans="1:66" x14ac:dyDescent="0.25">
      <c r="A85" s="333" t="str">
        <f>Centrum!A85</f>
        <v/>
      </c>
      <c r="B85" s="439" t="str">
        <f>IF(OR($A85="",TYPE(VLOOKUP($A85,Centrum!$D$3:$M$130,10,0))&gt;3),"",VLOOKUP(VLOOKUP(A85,Centrum!$D$3:$M$130,10,0),Centrum!$A$3:$CB$130,B$132,0))</f>
        <v/>
      </c>
      <c r="C85" s="333" t="str">
        <f>IF(OR($A85="",TYPE(VLOOKUP($A85,Centrum!$D$3:$M$130,10,0))&gt;3),"",VLOOKUP($A85,Centrum!$D$3:$M$130,10,0))</f>
        <v/>
      </c>
      <c r="E85" s="333" t="str">
        <f>IF(OR($A85="",TYPE(VLOOKUP($A85,Centrum!$D$3:$M$130,10,0))&gt;3),"",VLOOKUP(VLOOKUP($A85,Centrum!$D$3:$M$130,10,0),Centrum!$A$3:$CB$130,E$132,0))</f>
        <v/>
      </c>
      <c r="F85" s="333" t="str">
        <f>IF(OR($A85="",TYPE(VLOOKUP($A85,Centrum!$D$3:$M$130,10,0))&gt;3),"",VLOOKUP(VLOOKUP($A85,Centrum!$D$3:$M$130,10,0),Centrum!$A$3:$CB$130,F$132,0))</f>
        <v/>
      </c>
      <c r="G85" s="333" t="str">
        <f>IF(OR($A85="",TYPE(VLOOKUP($A85,Centrum!$D$3:$M$130,10,0))&gt;3),"",VLOOKUP(VLOOKUP($A85,Centrum!$D$3:$M$130,10,0),Centrum!$A$3:$CB$130,G$132,0))</f>
        <v/>
      </c>
      <c r="H85" s="333" t="str">
        <f>IF($A85="","",VLOOKUP(VLOOKUP($A85,Centrum!$D$3:$M$130,10,0),Centrum!$A$3:$CB$130,H$132,0))</f>
        <v/>
      </c>
      <c r="I85" s="333" t="str">
        <f>IF($A85="","",VLOOKUP(VLOOKUP($A85,Centrum!$D$3:$M$130,10,0),Centrum!$A$3:$CB$130,I$132,0))</f>
        <v/>
      </c>
      <c r="J85" s="333" t="str">
        <f>IF(OR($A85="",TYPE(VLOOKUP($A85,Centrum!$D$3:$M$130,10,0))&gt;3),"",VLOOKUP(VLOOKUP($A85,Centrum!$D$3:$M$130,10,0),Centrum!$A$3:$CB$130,J$132,0))</f>
        <v/>
      </c>
      <c r="L85" s="333" t="str">
        <f>IF(OR($A85="",TYPE(VLOOKUP($A85,Centrum!$D$3:$M$130,10,0))&gt;3),"",VLOOKUP(VLOOKUP($A85,Centrum!$D$3:$M$130,10,0),Centrum!$A$3:$CB$130,L$132,0))</f>
        <v/>
      </c>
      <c r="M85" s="333" t="str">
        <f>IF(OR($A85="",TYPE(VLOOKUP($A85,Centrum!$D$3:$M$130,10,0))&gt;3),"",VLOOKUP(VLOOKUP($A85,Centrum!$D$3:$M$130,10,0),Centrum!$A$3:$CB$130,M$132,0))</f>
        <v/>
      </c>
      <c r="N85" s="333" t="str">
        <f>IF(OR($A85="",TYPE(VLOOKUP($A85,Centrum!$D$3:$M$130,10,0))&gt;3),"",VLOOKUP(VLOOKUP($A85,Centrum!$D$3:$M$130,10,0),Centrum!$A$3:$CB$130,N$132,0))</f>
        <v/>
      </c>
      <c r="O85" s="333" t="str">
        <f>IF(OR($A85="",TYPE(VLOOKUP($A85,Centrum!$D$3:$M$130,10,0))&gt;3),"",VLOOKUP(VLOOKUP($A85,Centrum!$D$3:$M$130,10,0),Centrum!$A$3:$CB$130,O$132,0))</f>
        <v/>
      </c>
      <c r="P85" s="333" t="str">
        <f>IF(OR($A85="",TYPE(VLOOKUP($A85,Centrum!$D$3:$M$130,10,0))&gt;3),"",VLOOKUP(VLOOKUP($A85,Centrum!$D$3:$M$130,10,0),Centrum!$A$3:$CB$130,P$132,0))</f>
        <v/>
      </c>
      <c r="Q85" s="333" t="str">
        <f>IF(OR($A85="",TYPE(VLOOKUP($A85,Centrum!$D$3:$M$130,10,0))&gt;3),"",VLOOKUP(VLOOKUP($A85,Centrum!$D$3:$M$130,10,0),Centrum!$A$3:$CB$130,Q$132,0))</f>
        <v/>
      </c>
      <c r="S85" s="333" t="str">
        <f>IF(OR($A85="",TYPE(VLOOKUP($A85,Centrum!$D$3:$M$130,10,0))&gt;3),"",VLOOKUP(VLOOKUP($A85,Centrum!$D$3:$M$130,10,0),Centrum!$A$3:$CB$130,S$132,0))</f>
        <v/>
      </c>
      <c r="T85" s="333" t="str">
        <f>IF(OR($A85="",TYPE(VLOOKUP($A85,Centrum!$D$3:$M$130,10,0))&gt;3),"",VLOOKUP(VLOOKUP($A85,Centrum!$D$3:$M$130,10,0),Centrum!$A$3:$CB$130,T$132,0))</f>
        <v/>
      </c>
      <c r="U85" s="333" t="str">
        <f>IF(OR($A85="",TYPE(VLOOKUP($A85,Centrum!$D$3:$M$130,10,0))&gt;3),"",VLOOKUP(VLOOKUP($A85,Centrum!$D$3:$M$130,10,0),Centrum!$A$3:$CB$130,U$132,0))</f>
        <v/>
      </c>
      <c r="AB85" s="333" t="str">
        <f>IF(OR($A85="",TYPE(VLOOKUP($A85,Centrum!$D$3:$M$130,10,0))&gt;3),"",VLOOKUP(VLOOKUP($A85,Centrum!$D$3:$M$130,10,0),Centrum!$A$3:$CB$130,AB$132,0))</f>
        <v/>
      </c>
      <c r="AC85" s="333" t="str">
        <f>IF(OR($A85="",TYPE(VLOOKUP($A85,Centrum!$D$3:$M$130,10,0))&gt;3),"",VLOOKUP(VLOOKUP($A85,Centrum!$D$3:$M$130,10,0),Centrum!$A$3:$CB$130,AC$132,0))</f>
        <v/>
      </c>
      <c r="AD85" s="333" t="str">
        <f>IF(OR($A85="",TYPE(VLOOKUP($A85,Centrum!$D$3:$M$130,10,0))&gt;3),"",VLOOKUP(VLOOKUP($A85,Centrum!$D$3:$M$130,10,0),Centrum!$A$3:$CB$130,AD$132,0))</f>
        <v/>
      </c>
      <c r="AK85" s="333" t="str">
        <f>IF(OR($A85="",TYPE(VLOOKUP($A85,Centrum!$D$3:$M$130,10,0))&gt;3),"",VLOOKUP(VLOOKUP($A85,Centrum!$D$3:$M$130,10,0),Centrum!$A$3:$CB$130,AK$132,0))</f>
        <v/>
      </c>
      <c r="AL85" s="333" t="str">
        <f>IF(OR($A85="",TYPE(VLOOKUP($A85,Centrum!$D$3:$M$130,10,0))&gt;3),"",VLOOKUP(VLOOKUP($A85,Centrum!$D$3:$M$130,10,0),Centrum!$A$3:$CB$130,AL$132,0))</f>
        <v/>
      </c>
      <c r="AM85" s="333" t="str">
        <f>IF(OR($A85="",TYPE(VLOOKUP($A85,Centrum!$D$3:$M$130,10,0))&gt;3),"",VLOOKUP(VLOOKUP($A85,Centrum!$D$3:$M$130,10,0),Centrum!$A$3:$CB$130,AM$132,0))</f>
        <v/>
      </c>
      <c r="AT85" s="333" t="str">
        <f>IF(OR(OR($A85="",TYPE(VLOOKUP($A85,Centrum!$D$3:$M$130,10,0))&gt;3),$A$1&lt;4),"",VLOOKUP(VLOOKUP($A85,Centrum!$D$3:$M$130,10,0),Centrum!$A$3:$CB$130,AT$132,0))</f>
        <v/>
      </c>
      <c r="AU85" s="333" t="str">
        <f>IF(OR(OR($A85="",TYPE(VLOOKUP($A85,Centrum!$D$3:$M$130,10,0))&gt;3),$A$1&lt;4),"",VLOOKUP(VLOOKUP($A85,Centrum!$D$3:$M$130,10,0),Centrum!$A$3:$CB$130,AU$132,0))</f>
        <v/>
      </c>
      <c r="AV85" s="333" t="str">
        <f>IF(OR(OR($A85="",TYPE(VLOOKUP($A85,Centrum!$D$3:$M$130,10,0))&gt;3),$A$1&lt;4),"",VLOOKUP(VLOOKUP($A85,Centrum!$D$3:$M$130,10,0),Centrum!$A$3:$CB$130,AV$132,0))</f>
        <v/>
      </c>
      <c r="BC85" s="333" t="str">
        <f>IF(OR(OR($A85="",TYPE(VLOOKUP($A85,Centrum!$D$3:$M$130,10,0))&gt;3),$A$1&lt;5),"",VLOOKUP(VLOOKUP($A85,Centrum!$D$3:$M$130,10,0),Centrum!$A$3:$CB$130,BC$132,0))</f>
        <v/>
      </c>
      <c r="BD85" s="333" t="str">
        <f>IF(OR(OR($A85="",TYPE(VLOOKUP($A85,Centrum!$D$3:$M$130,10,0))&gt;3),$A$1&lt;5),"",VLOOKUP(VLOOKUP($A85,Centrum!$D$3:$M$130,10,0),Centrum!$A$3:$CB$130,BD$132,0))</f>
        <v/>
      </c>
      <c r="BE85" s="333" t="str">
        <f>IF(OR(OR($A85="",TYPE(VLOOKUP($A85,Centrum!$D$3:$M$130,10,0))&gt;3),$A$1&lt;5),"",VLOOKUP(VLOOKUP($A85,Centrum!$D$3:$M$130,10,0),Centrum!$A$3:$CB$130,BE$132,0))</f>
        <v/>
      </c>
      <c r="BL85" s="333" t="str">
        <f>IF(OR(OR($A85="",TYPE(VLOOKUP($A85,Centrum!$D$3:$M$130,10,0))&gt;3),$A$1&lt;6),"",VLOOKUP(VLOOKUP($A85,Centrum!$D$3:$M$130,10,0),Centrum!$A$3:$CB$130,BL$132,0))</f>
        <v/>
      </c>
      <c r="BM85" s="333" t="str">
        <f>IF(OR(OR($A85="",TYPE(VLOOKUP($A85,Centrum!$D$3:$M$130,10,0))&gt;3),$A$1&lt;6),"",VLOOKUP(VLOOKUP($A85,Centrum!$D$3:$M$130,10,0),Centrum!$A$3:$CB$130,BM$132,0))</f>
        <v/>
      </c>
      <c r="BN85" s="333" t="str">
        <f>IF(OR(OR($A85="",TYPE(VLOOKUP($A85,Centrum!$D$3:$M$130,10,0))&gt;3),$A$1&lt;6),"",VLOOKUP(VLOOKUP($A85,Centrum!$D$3:$M$130,10,0),Centrum!$A$3:$CB$130,BN$132,0))</f>
        <v/>
      </c>
    </row>
    <row r="86" spans="1:66" x14ac:dyDescent="0.25">
      <c r="A86" s="333" t="str">
        <f>Centrum!A86</f>
        <v/>
      </c>
      <c r="B86" s="439" t="str">
        <f>IF(OR($A86="",TYPE(VLOOKUP($A86,Centrum!$D$3:$M$130,10,0))&gt;3),"",VLOOKUP(VLOOKUP(A86,Centrum!$D$3:$M$130,10,0),Centrum!$A$3:$CB$130,B$132,0))</f>
        <v/>
      </c>
      <c r="C86" s="333" t="str">
        <f>IF(OR($A86="",TYPE(VLOOKUP($A86,Centrum!$D$3:$M$130,10,0))&gt;3),"",VLOOKUP($A86,Centrum!$D$3:$M$130,10,0))</f>
        <v/>
      </c>
      <c r="E86" s="333" t="str">
        <f>IF(OR($A86="",TYPE(VLOOKUP($A86,Centrum!$D$3:$M$130,10,0))&gt;3),"",VLOOKUP(VLOOKUP($A86,Centrum!$D$3:$M$130,10,0),Centrum!$A$3:$CB$130,E$132,0))</f>
        <v/>
      </c>
      <c r="F86" s="333" t="str">
        <f>IF(OR($A86="",TYPE(VLOOKUP($A86,Centrum!$D$3:$M$130,10,0))&gt;3),"",VLOOKUP(VLOOKUP($A86,Centrum!$D$3:$M$130,10,0),Centrum!$A$3:$CB$130,F$132,0))</f>
        <v/>
      </c>
      <c r="G86" s="333" t="str">
        <f>IF(OR($A86="",TYPE(VLOOKUP($A86,Centrum!$D$3:$M$130,10,0))&gt;3),"",VLOOKUP(VLOOKUP($A86,Centrum!$D$3:$M$130,10,0),Centrum!$A$3:$CB$130,G$132,0))</f>
        <v/>
      </c>
      <c r="H86" s="333" t="str">
        <f>IF($A86="","",VLOOKUP(VLOOKUP($A86,Centrum!$D$3:$M$130,10,0),Centrum!$A$3:$CB$130,H$132,0))</f>
        <v/>
      </c>
      <c r="I86" s="333" t="str">
        <f>IF($A86="","",VLOOKUP(VLOOKUP($A86,Centrum!$D$3:$M$130,10,0),Centrum!$A$3:$CB$130,I$132,0))</f>
        <v/>
      </c>
      <c r="J86" s="333" t="str">
        <f>IF(OR($A86="",TYPE(VLOOKUP($A86,Centrum!$D$3:$M$130,10,0))&gt;3),"",VLOOKUP(VLOOKUP($A86,Centrum!$D$3:$M$130,10,0),Centrum!$A$3:$CB$130,J$132,0))</f>
        <v/>
      </c>
      <c r="L86" s="333" t="str">
        <f>IF(OR($A86="",TYPE(VLOOKUP($A86,Centrum!$D$3:$M$130,10,0))&gt;3),"",VLOOKUP(VLOOKUP($A86,Centrum!$D$3:$M$130,10,0),Centrum!$A$3:$CB$130,L$132,0))</f>
        <v/>
      </c>
      <c r="M86" s="333" t="str">
        <f>IF(OR($A86="",TYPE(VLOOKUP($A86,Centrum!$D$3:$M$130,10,0))&gt;3),"",VLOOKUP(VLOOKUP($A86,Centrum!$D$3:$M$130,10,0),Centrum!$A$3:$CB$130,M$132,0))</f>
        <v/>
      </c>
      <c r="N86" s="333" t="str">
        <f>IF(OR($A86="",TYPE(VLOOKUP($A86,Centrum!$D$3:$M$130,10,0))&gt;3),"",VLOOKUP(VLOOKUP($A86,Centrum!$D$3:$M$130,10,0),Centrum!$A$3:$CB$130,N$132,0))</f>
        <v/>
      </c>
      <c r="O86" s="333" t="str">
        <f>IF(OR($A86="",TYPE(VLOOKUP($A86,Centrum!$D$3:$M$130,10,0))&gt;3),"",VLOOKUP(VLOOKUP($A86,Centrum!$D$3:$M$130,10,0),Centrum!$A$3:$CB$130,O$132,0))</f>
        <v/>
      </c>
      <c r="P86" s="333" t="str">
        <f>IF(OR($A86="",TYPE(VLOOKUP($A86,Centrum!$D$3:$M$130,10,0))&gt;3),"",VLOOKUP(VLOOKUP($A86,Centrum!$D$3:$M$130,10,0),Centrum!$A$3:$CB$130,P$132,0))</f>
        <v/>
      </c>
      <c r="Q86" s="333" t="str">
        <f>IF(OR($A86="",TYPE(VLOOKUP($A86,Centrum!$D$3:$M$130,10,0))&gt;3),"",VLOOKUP(VLOOKUP($A86,Centrum!$D$3:$M$130,10,0),Centrum!$A$3:$CB$130,Q$132,0))</f>
        <v/>
      </c>
      <c r="S86" s="333" t="str">
        <f>IF(OR($A86="",TYPE(VLOOKUP($A86,Centrum!$D$3:$M$130,10,0))&gt;3),"",VLOOKUP(VLOOKUP($A86,Centrum!$D$3:$M$130,10,0),Centrum!$A$3:$CB$130,S$132,0))</f>
        <v/>
      </c>
      <c r="T86" s="333" t="str">
        <f>IF(OR($A86="",TYPE(VLOOKUP($A86,Centrum!$D$3:$M$130,10,0))&gt;3),"",VLOOKUP(VLOOKUP($A86,Centrum!$D$3:$M$130,10,0),Centrum!$A$3:$CB$130,T$132,0))</f>
        <v/>
      </c>
      <c r="U86" s="333" t="str">
        <f>IF(OR($A86="",TYPE(VLOOKUP($A86,Centrum!$D$3:$M$130,10,0))&gt;3),"",VLOOKUP(VLOOKUP($A86,Centrum!$D$3:$M$130,10,0),Centrum!$A$3:$CB$130,U$132,0))</f>
        <v/>
      </c>
      <c r="AB86" s="333" t="str">
        <f>IF(OR($A86="",TYPE(VLOOKUP($A86,Centrum!$D$3:$M$130,10,0))&gt;3),"",VLOOKUP(VLOOKUP($A86,Centrum!$D$3:$M$130,10,0),Centrum!$A$3:$CB$130,AB$132,0))</f>
        <v/>
      </c>
      <c r="AC86" s="333" t="str">
        <f>IF(OR($A86="",TYPE(VLOOKUP($A86,Centrum!$D$3:$M$130,10,0))&gt;3),"",VLOOKUP(VLOOKUP($A86,Centrum!$D$3:$M$130,10,0),Centrum!$A$3:$CB$130,AC$132,0))</f>
        <v/>
      </c>
      <c r="AD86" s="333" t="str">
        <f>IF(OR($A86="",TYPE(VLOOKUP($A86,Centrum!$D$3:$M$130,10,0))&gt;3),"",VLOOKUP(VLOOKUP($A86,Centrum!$D$3:$M$130,10,0),Centrum!$A$3:$CB$130,AD$132,0))</f>
        <v/>
      </c>
      <c r="AK86" s="333" t="str">
        <f>IF(OR($A86="",TYPE(VLOOKUP($A86,Centrum!$D$3:$M$130,10,0))&gt;3),"",VLOOKUP(VLOOKUP($A86,Centrum!$D$3:$M$130,10,0),Centrum!$A$3:$CB$130,AK$132,0))</f>
        <v/>
      </c>
      <c r="AL86" s="333" t="str">
        <f>IF(OR($A86="",TYPE(VLOOKUP($A86,Centrum!$D$3:$M$130,10,0))&gt;3),"",VLOOKUP(VLOOKUP($A86,Centrum!$D$3:$M$130,10,0),Centrum!$A$3:$CB$130,AL$132,0))</f>
        <v/>
      </c>
      <c r="AM86" s="333" t="str">
        <f>IF(OR($A86="",TYPE(VLOOKUP($A86,Centrum!$D$3:$M$130,10,0))&gt;3),"",VLOOKUP(VLOOKUP($A86,Centrum!$D$3:$M$130,10,0),Centrum!$A$3:$CB$130,AM$132,0))</f>
        <v/>
      </c>
      <c r="AT86" s="333" t="str">
        <f>IF(OR(OR($A86="",TYPE(VLOOKUP($A86,Centrum!$D$3:$M$130,10,0))&gt;3),$A$1&lt;4),"",VLOOKUP(VLOOKUP($A86,Centrum!$D$3:$M$130,10,0),Centrum!$A$3:$CB$130,AT$132,0))</f>
        <v/>
      </c>
      <c r="AU86" s="333" t="str">
        <f>IF(OR(OR($A86="",TYPE(VLOOKUP($A86,Centrum!$D$3:$M$130,10,0))&gt;3),$A$1&lt;4),"",VLOOKUP(VLOOKUP($A86,Centrum!$D$3:$M$130,10,0),Centrum!$A$3:$CB$130,AU$132,0))</f>
        <v/>
      </c>
      <c r="AV86" s="333" t="str">
        <f>IF(OR(OR($A86="",TYPE(VLOOKUP($A86,Centrum!$D$3:$M$130,10,0))&gt;3),$A$1&lt;4),"",VLOOKUP(VLOOKUP($A86,Centrum!$D$3:$M$130,10,0),Centrum!$A$3:$CB$130,AV$132,0))</f>
        <v/>
      </c>
      <c r="BC86" s="333" t="str">
        <f>IF(OR(OR($A86="",TYPE(VLOOKUP($A86,Centrum!$D$3:$M$130,10,0))&gt;3),$A$1&lt;5),"",VLOOKUP(VLOOKUP($A86,Centrum!$D$3:$M$130,10,0),Centrum!$A$3:$CB$130,BC$132,0))</f>
        <v/>
      </c>
      <c r="BD86" s="333" t="str">
        <f>IF(OR(OR($A86="",TYPE(VLOOKUP($A86,Centrum!$D$3:$M$130,10,0))&gt;3),$A$1&lt;5),"",VLOOKUP(VLOOKUP($A86,Centrum!$D$3:$M$130,10,0),Centrum!$A$3:$CB$130,BD$132,0))</f>
        <v/>
      </c>
      <c r="BE86" s="333" t="str">
        <f>IF(OR(OR($A86="",TYPE(VLOOKUP($A86,Centrum!$D$3:$M$130,10,0))&gt;3),$A$1&lt;5),"",VLOOKUP(VLOOKUP($A86,Centrum!$D$3:$M$130,10,0),Centrum!$A$3:$CB$130,BE$132,0))</f>
        <v/>
      </c>
      <c r="BL86" s="333" t="str">
        <f>IF(OR(OR($A86="",TYPE(VLOOKUP($A86,Centrum!$D$3:$M$130,10,0))&gt;3),$A$1&lt;6),"",VLOOKUP(VLOOKUP($A86,Centrum!$D$3:$M$130,10,0),Centrum!$A$3:$CB$130,BL$132,0))</f>
        <v/>
      </c>
      <c r="BM86" s="333" t="str">
        <f>IF(OR(OR($A86="",TYPE(VLOOKUP($A86,Centrum!$D$3:$M$130,10,0))&gt;3),$A$1&lt;6),"",VLOOKUP(VLOOKUP($A86,Centrum!$D$3:$M$130,10,0),Centrum!$A$3:$CB$130,BM$132,0))</f>
        <v/>
      </c>
      <c r="BN86" s="333" t="str">
        <f>IF(OR(OR($A86="",TYPE(VLOOKUP($A86,Centrum!$D$3:$M$130,10,0))&gt;3),$A$1&lt;6),"",VLOOKUP(VLOOKUP($A86,Centrum!$D$3:$M$130,10,0),Centrum!$A$3:$CB$130,BN$132,0))</f>
        <v/>
      </c>
    </row>
    <row r="87" spans="1:66" x14ac:dyDescent="0.25">
      <c r="A87" s="333" t="str">
        <f>Centrum!A87</f>
        <v/>
      </c>
      <c r="B87" s="439" t="str">
        <f>IF(OR($A87="",TYPE(VLOOKUP($A87,Centrum!$D$3:$M$130,10,0))&gt;3),"",VLOOKUP(VLOOKUP(A87,Centrum!$D$3:$M$130,10,0),Centrum!$A$3:$CB$130,B$132,0))</f>
        <v/>
      </c>
      <c r="C87" s="333" t="str">
        <f>IF(OR($A87="",TYPE(VLOOKUP($A87,Centrum!$D$3:$M$130,10,0))&gt;3),"",VLOOKUP($A87,Centrum!$D$3:$M$130,10,0))</f>
        <v/>
      </c>
      <c r="E87" s="333" t="str">
        <f>IF(OR($A87="",TYPE(VLOOKUP($A87,Centrum!$D$3:$M$130,10,0))&gt;3),"",VLOOKUP(VLOOKUP($A87,Centrum!$D$3:$M$130,10,0),Centrum!$A$3:$CB$130,E$132,0))</f>
        <v/>
      </c>
      <c r="F87" s="333" t="str">
        <f>IF(OR($A87="",TYPE(VLOOKUP($A87,Centrum!$D$3:$M$130,10,0))&gt;3),"",VLOOKUP(VLOOKUP($A87,Centrum!$D$3:$M$130,10,0),Centrum!$A$3:$CB$130,F$132,0))</f>
        <v/>
      </c>
      <c r="G87" s="333" t="str">
        <f>IF(OR($A87="",TYPE(VLOOKUP($A87,Centrum!$D$3:$M$130,10,0))&gt;3),"",VLOOKUP(VLOOKUP($A87,Centrum!$D$3:$M$130,10,0),Centrum!$A$3:$CB$130,G$132,0))</f>
        <v/>
      </c>
      <c r="H87" s="333" t="str">
        <f>IF($A87="","",VLOOKUP(VLOOKUP($A87,Centrum!$D$3:$M$130,10,0),Centrum!$A$3:$CB$130,H$132,0))</f>
        <v/>
      </c>
      <c r="I87" s="333" t="str">
        <f>IF($A87="","",VLOOKUP(VLOOKUP($A87,Centrum!$D$3:$M$130,10,0),Centrum!$A$3:$CB$130,I$132,0))</f>
        <v/>
      </c>
      <c r="J87" s="333" t="str">
        <f>IF(OR($A87="",TYPE(VLOOKUP($A87,Centrum!$D$3:$M$130,10,0))&gt;3),"",VLOOKUP(VLOOKUP($A87,Centrum!$D$3:$M$130,10,0),Centrum!$A$3:$CB$130,J$132,0))</f>
        <v/>
      </c>
      <c r="L87" s="333" t="str">
        <f>IF(OR($A87="",TYPE(VLOOKUP($A87,Centrum!$D$3:$M$130,10,0))&gt;3),"",VLOOKUP(VLOOKUP($A87,Centrum!$D$3:$M$130,10,0),Centrum!$A$3:$CB$130,L$132,0))</f>
        <v/>
      </c>
      <c r="M87" s="333" t="str">
        <f>IF(OR($A87="",TYPE(VLOOKUP($A87,Centrum!$D$3:$M$130,10,0))&gt;3),"",VLOOKUP(VLOOKUP($A87,Centrum!$D$3:$M$130,10,0),Centrum!$A$3:$CB$130,M$132,0))</f>
        <v/>
      </c>
      <c r="N87" s="333" t="str">
        <f>IF(OR($A87="",TYPE(VLOOKUP($A87,Centrum!$D$3:$M$130,10,0))&gt;3),"",VLOOKUP(VLOOKUP($A87,Centrum!$D$3:$M$130,10,0),Centrum!$A$3:$CB$130,N$132,0))</f>
        <v/>
      </c>
      <c r="O87" s="333" t="str">
        <f>IF(OR($A87="",TYPE(VLOOKUP($A87,Centrum!$D$3:$M$130,10,0))&gt;3),"",VLOOKUP(VLOOKUP($A87,Centrum!$D$3:$M$130,10,0),Centrum!$A$3:$CB$130,O$132,0))</f>
        <v/>
      </c>
      <c r="P87" s="333" t="str">
        <f>IF(OR($A87="",TYPE(VLOOKUP($A87,Centrum!$D$3:$M$130,10,0))&gt;3),"",VLOOKUP(VLOOKUP($A87,Centrum!$D$3:$M$130,10,0),Centrum!$A$3:$CB$130,P$132,0))</f>
        <v/>
      </c>
      <c r="Q87" s="333" t="str">
        <f>IF(OR($A87="",TYPE(VLOOKUP($A87,Centrum!$D$3:$M$130,10,0))&gt;3),"",VLOOKUP(VLOOKUP($A87,Centrum!$D$3:$M$130,10,0),Centrum!$A$3:$CB$130,Q$132,0))</f>
        <v/>
      </c>
      <c r="S87" s="333" t="str">
        <f>IF(OR($A87="",TYPE(VLOOKUP($A87,Centrum!$D$3:$M$130,10,0))&gt;3),"",VLOOKUP(VLOOKUP($A87,Centrum!$D$3:$M$130,10,0),Centrum!$A$3:$CB$130,S$132,0))</f>
        <v/>
      </c>
      <c r="T87" s="333" t="str">
        <f>IF(OR($A87="",TYPE(VLOOKUP($A87,Centrum!$D$3:$M$130,10,0))&gt;3),"",VLOOKUP(VLOOKUP($A87,Centrum!$D$3:$M$130,10,0),Centrum!$A$3:$CB$130,T$132,0))</f>
        <v/>
      </c>
      <c r="U87" s="333" t="str">
        <f>IF(OR($A87="",TYPE(VLOOKUP($A87,Centrum!$D$3:$M$130,10,0))&gt;3),"",VLOOKUP(VLOOKUP($A87,Centrum!$D$3:$M$130,10,0),Centrum!$A$3:$CB$130,U$132,0))</f>
        <v/>
      </c>
      <c r="AB87" s="333" t="str">
        <f>IF(OR($A87="",TYPE(VLOOKUP($A87,Centrum!$D$3:$M$130,10,0))&gt;3),"",VLOOKUP(VLOOKUP($A87,Centrum!$D$3:$M$130,10,0),Centrum!$A$3:$CB$130,AB$132,0))</f>
        <v/>
      </c>
      <c r="AC87" s="333" t="str">
        <f>IF(OR($A87="",TYPE(VLOOKUP($A87,Centrum!$D$3:$M$130,10,0))&gt;3),"",VLOOKUP(VLOOKUP($A87,Centrum!$D$3:$M$130,10,0),Centrum!$A$3:$CB$130,AC$132,0))</f>
        <v/>
      </c>
      <c r="AD87" s="333" t="str">
        <f>IF(OR($A87="",TYPE(VLOOKUP($A87,Centrum!$D$3:$M$130,10,0))&gt;3),"",VLOOKUP(VLOOKUP($A87,Centrum!$D$3:$M$130,10,0),Centrum!$A$3:$CB$130,AD$132,0))</f>
        <v/>
      </c>
      <c r="AK87" s="333" t="str">
        <f>IF(OR($A87="",TYPE(VLOOKUP($A87,Centrum!$D$3:$M$130,10,0))&gt;3),"",VLOOKUP(VLOOKUP($A87,Centrum!$D$3:$M$130,10,0),Centrum!$A$3:$CB$130,AK$132,0))</f>
        <v/>
      </c>
      <c r="AL87" s="333" t="str">
        <f>IF(OR($A87="",TYPE(VLOOKUP($A87,Centrum!$D$3:$M$130,10,0))&gt;3),"",VLOOKUP(VLOOKUP($A87,Centrum!$D$3:$M$130,10,0),Centrum!$A$3:$CB$130,AL$132,0))</f>
        <v/>
      </c>
      <c r="AM87" s="333" t="str">
        <f>IF(OR($A87="",TYPE(VLOOKUP($A87,Centrum!$D$3:$M$130,10,0))&gt;3),"",VLOOKUP(VLOOKUP($A87,Centrum!$D$3:$M$130,10,0),Centrum!$A$3:$CB$130,AM$132,0))</f>
        <v/>
      </c>
      <c r="AT87" s="333" t="str">
        <f>IF(OR(OR($A87="",TYPE(VLOOKUP($A87,Centrum!$D$3:$M$130,10,0))&gt;3),$A$1&lt;4),"",VLOOKUP(VLOOKUP($A87,Centrum!$D$3:$M$130,10,0),Centrum!$A$3:$CB$130,AT$132,0))</f>
        <v/>
      </c>
      <c r="AU87" s="333" t="str">
        <f>IF(OR(OR($A87="",TYPE(VLOOKUP($A87,Centrum!$D$3:$M$130,10,0))&gt;3),$A$1&lt;4),"",VLOOKUP(VLOOKUP($A87,Centrum!$D$3:$M$130,10,0),Centrum!$A$3:$CB$130,AU$132,0))</f>
        <v/>
      </c>
      <c r="AV87" s="333" t="str">
        <f>IF(OR(OR($A87="",TYPE(VLOOKUP($A87,Centrum!$D$3:$M$130,10,0))&gt;3),$A$1&lt;4),"",VLOOKUP(VLOOKUP($A87,Centrum!$D$3:$M$130,10,0),Centrum!$A$3:$CB$130,AV$132,0))</f>
        <v/>
      </c>
      <c r="BC87" s="333" t="str">
        <f>IF(OR(OR($A87="",TYPE(VLOOKUP($A87,Centrum!$D$3:$M$130,10,0))&gt;3),$A$1&lt;5),"",VLOOKUP(VLOOKUP($A87,Centrum!$D$3:$M$130,10,0),Centrum!$A$3:$CB$130,BC$132,0))</f>
        <v/>
      </c>
      <c r="BD87" s="333" t="str">
        <f>IF(OR(OR($A87="",TYPE(VLOOKUP($A87,Centrum!$D$3:$M$130,10,0))&gt;3),$A$1&lt;5),"",VLOOKUP(VLOOKUP($A87,Centrum!$D$3:$M$130,10,0),Centrum!$A$3:$CB$130,BD$132,0))</f>
        <v/>
      </c>
      <c r="BE87" s="333" t="str">
        <f>IF(OR(OR($A87="",TYPE(VLOOKUP($A87,Centrum!$D$3:$M$130,10,0))&gt;3),$A$1&lt;5),"",VLOOKUP(VLOOKUP($A87,Centrum!$D$3:$M$130,10,0),Centrum!$A$3:$CB$130,BE$132,0))</f>
        <v/>
      </c>
      <c r="BL87" s="333" t="str">
        <f>IF(OR(OR($A87="",TYPE(VLOOKUP($A87,Centrum!$D$3:$M$130,10,0))&gt;3),$A$1&lt;6),"",VLOOKUP(VLOOKUP($A87,Centrum!$D$3:$M$130,10,0),Centrum!$A$3:$CB$130,BL$132,0))</f>
        <v/>
      </c>
      <c r="BM87" s="333" t="str">
        <f>IF(OR(OR($A87="",TYPE(VLOOKUP($A87,Centrum!$D$3:$M$130,10,0))&gt;3),$A$1&lt;6),"",VLOOKUP(VLOOKUP($A87,Centrum!$D$3:$M$130,10,0),Centrum!$A$3:$CB$130,BM$132,0))</f>
        <v/>
      </c>
      <c r="BN87" s="333" t="str">
        <f>IF(OR(OR($A87="",TYPE(VLOOKUP($A87,Centrum!$D$3:$M$130,10,0))&gt;3),$A$1&lt;6),"",VLOOKUP(VLOOKUP($A87,Centrum!$D$3:$M$130,10,0),Centrum!$A$3:$CB$130,BN$132,0))</f>
        <v/>
      </c>
    </row>
    <row r="88" spans="1:66" x14ac:dyDescent="0.25">
      <c r="A88" s="333" t="str">
        <f>Centrum!A88</f>
        <v/>
      </c>
      <c r="B88" s="439" t="str">
        <f>IF(OR($A88="",TYPE(VLOOKUP($A88,Centrum!$D$3:$M$130,10,0))&gt;3),"",VLOOKUP(VLOOKUP(A88,Centrum!$D$3:$M$130,10,0),Centrum!$A$3:$CB$130,B$132,0))</f>
        <v/>
      </c>
      <c r="C88" s="333" t="str">
        <f>IF(OR($A88="",TYPE(VLOOKUP($A88,Centrum!$D$3:$M$130,10,0))&gt;3),"",VLOOKUP($A88,Centrum!$D$3:$M$130,10,0))</f>
        <v/>
      </c>
      <c r="E88" s="333" t="str">
        <f>IF(OR($A88="",TYPE(VLOOKUP($A88,Centrum!$D$3:$M$130,10,0))&gt;3),"",VLOOKUP(VLOOKUP($A88,Centrum!$D$3:$M$130,10,0),Centrum!$A$3:$CB$130,E$132,0))</f>
        <v/>
      </c>
      <c r="F88" s="333" t="str">
        <f>IF(OR($A88="",TYPE(VLOOKUP($A88,Centrum!$D$3:$M$130,10,0))&gt;3),"",VLOOKUP(VLOOKUP($A88,Centrum!$D$3:$M$130,10,0),Centrum!$A$3:$CB$130,F$132,0))</f>
        <v/>
      </c>
      <c r="G88" s="333" t="str">
        <f>IF(OR($A88="",TYPE(VLOOKUP($A88,Centrum!$D$3:$M$130,10,0))&gt;3),"",VLOOKUP(VLOOKUP($A88,Centrum!$D$3:$M$130,10,0),Centrum!$A$3:$CB$130,G$132,0))</f>
        <v/>
      </c>
      <c r="H88" s="333" t="str">
        <f>IF($A88="","",VLOOKUP(VLOOKUP($A88,Centrum!$D$3:$M$130,10,0),Centrum!$A$3:$CB$130,H$132,0))</f>
        <v/>
      </c>
      <c r="I88" s="333" t="str">
        <f>IF($A88="","",VLOOKUP(VLOOKUP($A88,Centrum!$D$3:$M$130,10,0),Centrum!$A$3:$CB$130,I$132,0))</f>
        <v/>
      </c>
      <c r="J88" s="333" t="str">
        <f>IF(OR($A88="",TYPE(VLOOKUP($A88,Centrum!$D$3:$M$130,10,0))&gt;3),"",VLOOKUP(VLOOKUP($A88,Centrum!$D$3:$M$130,10,0),Centrum!$A$3:$CB$130,J$132,0))</f>
        <v/>
      </c>
      <c r="L88" s="333" t="str">
        <f>IF(OR($A88="",TYPE(VLOOKUP($A88,Centrum!$D$3:$M$130,10,0))&gt;3),"",VLOOKUP(VLOOKUP($A88,Centrum!$D$3:$M$130,10,0),Centrum!$A$3:$CB$130,L$132,0))</f>
        <v/>
      </c>
      <c r="M88" s="333" t="str">
        <f>IF(OR($A88="",TYPE(VLOOKUP($A88,Centrum!$D$3:$M$130,10,0))&gt;3),"",VLOOKUP(VLOOKUP($A88,Centrum!$D$3:$M$130,10,0),Centrum!$A$3:$CB$130,M$132,0))</f>
        <v/>
      </c>
      <c r="N88" s="333" t="str">
        <f>IF(OR($A88="",TYPE(VLOOKUP($A88,Centrum!$D$3:$M$130,10,0))&gt;3),"",VLOOKUP(VLOOKUP($A88,Centrum!$D$3:$M$130,10,0),Centrum!$A$3:$CB$130,N$132,0))</f>
        <v/>
      </c>
      <c r="O88" s="333" t="str">
        <f>IF(OR($A88="",TYPE(VLOOKUP($A88,Centrum!$D$3:$M$130,10,0))&gt;3),"",VLOOKUP(VLOOKUP($A88,Centrum!$D$3:$M$130,10,0),Centrum!$A$3:$CB$130,O$132,0))</f>
        <v/>
      </c>
      <c r="P88" s="333" t="str">
        <f>IF(OR($A88="",TYPE(VLOOKUP($A88,Centrum!$D$3:$M$130,10,0))&gt;3),"",VLOOKUP(VLOOKUP($A88,Centrum!$D$3:$M$130,10,0),Centrum!$A$3:$CB$130,P$132,0))</f>
        <v/>
      </c>
      <c r="Q88" s="333" t="str">
        <f>IF(OR($A88="",TYPE(VLOOKUP($A88,Centrum!$D$3:$M$130,10,0))&gt;3),"",VLOOKUP(VLOOKUP($A88,Centrum!$D$3:$M$130,10,0),Centrum!$A$3:$CB$130,Q$132,0))</f>
        <v/>
      </c>
      <c r="S88" s="333" t="str">
        <f>IF(OR($A88="",TYPE(VLOOKUP($A88,Centrum!$D$3:$M$130,10,0))&gt;3),"",VLOOKUP(VLOOKUP($A88,Centrum!$D$3:$M$130,10,0),Centrum!$A$3:$CB$130,S$132,0))</f>
        <v/>
      </c>
      <c r="T88" s="333" t="str">
        <f>IF(OR($A88="",TYPE(VLOOKUP($A88,Centrum!$D$3:$M$130,10,0))&gt;3),"",VLOOKUP(VLOOKUP($A88,Centrum!$D$3:$M$130,10,0),Centrum!$A$3:$CB$130,T$132,0))</f>
        <v/>
      </c>
      <c r="U88" s="333" t="str">
        <f>IF(OR($A88="",TYPE(VLOOKUP($A88,Centrum!$D$3:$M$130,10,0))&gt;3),"",VLOOKUP(VLOOKUP($A88,Centrum!$D$3:$M$130,10,0),Centrum!$A$3:$CB$130,U$132,0))</f>
        <v/>
      </c>
      <c r="AB88" s="333" t="str">
        <f>IF(OR($A88="",TYPE(VLOOKUP($A88,Centrum!$D$3:$M$130,10,0))&gt;3),"",VLOOKUP(VLOOKUP($A88,Centrum!$D$3:$M$130,10,0),Centrum!$A$3:$CB$130,AB$132,0))</f>
        <v/>
      </c>
      <c r="AC88" s="333" t="str">
        <f>IF(OR($A88="",TYPE(VLOOKUP($A88,Centrum!$D$3:$M$130,10,0))&gt;3),"",VLOOKUP(VLOOKUP($A88,Centrum!$D$3:$M$130,10,0),Centrum!$A$3:$CB$130,AC$132,0))</f>
        <v/>
      </c>
      <c r="AD88" s="333" t="str">
        <f>IF(OR($A88="",TYPE(VLOOKUP($A88,Centrum!$D$3:$M$130,10,0))&gt;3),"",VLOOKUP(VLOOKUP($A88,Centrum!$D$3:$M$130,10,0),Centrum!$A$3:$CB$130,AD$132,0))</f>
        <v/>
      </c>
      <c r="AK88" s="333" t="str">
        <f>IF(OR($A88="",TYPE(VLOOKUP($A88,Centrum!$D$3:$M$130,10,0))&gt;3),"",VLOOKUP(VLOOKUP($A88,Centrum!$D$3:$M$130,10,0),Centrum!$A$3:$CB$130,AK$132,0))</f>
        <v/>
      </c>
      <c r="AL88" s="333" t="str">
        <f>IF(OR($A88="",TYPE(VLOOKUP($A88,Centrum!$D$3:$M$130,10,0))&gt;3),"",VLOOKUP(VLOOKUP($A88,Centrum!$D$3:$M$130,10,0),Centrum!$A$3:$CB$130,AL$132,0))</f>
        <v/>
      </c>
      <c r="AM88" s="333" t="str">
        <f>IF(OR($A88="",TYPE(VLOOKUP($A88,Centrum!$D$3:$M$130,10,0))&gt;3),"",VLOOKUP(VLOOKUP($A88,Centrum!$D$3:$M$130,10,0),Centrum!$A$3:$CB$130,AM$132,0))</f>
        <v/>
      </c>
      <c r="AT88" s="333" t="str">
        <f>IF(OR(OR($A88="",TYPE(VLOOKUP($A88,Centrum!$D$3:$M$130,10,0))&gt;3),$A$1&lt;4),"",VLOOKUP(VLOOKUP($A88,Centrum!$D$3:$M$130,10,0),Centrum!$A$3:$CB$130,AT$132,0))</f>
        <v/>
      </c>
      <c r="AU88" s="333" t="str">
        <f>IF(OR(OR($A88="",TYPE(VLOOKUP($A88,Centrum!$D$3:$M$130,10,0))&gt;3),$A$1&lt;4),"",VLOOKUP(VLOOKUP($A88,Centrum!$D$3:$M$130,10,0),Centrum!$A$3:$CB$130,AU$132,0))</f>
        <v/>
      </c>
      <c r="AV88" s="333" t="str">
        <f>IF(OR(OR($A88="",TYPE(VLOOKUP($A88,Centrum!$D$3:$M$130,10,0))&gt;3),$A$1&lt;4),"",VLOOKUP(VLOOKUP($A88,Centrum!$D$3:$M$130,10,0),Centrum!$A$3:$CB$130,AV$132,0))</f>
        <v/>
      </c>
      <c r="BC88" s="333" t="str">
        <f>IF(OR(OR($A88="",TYPE(VLOOKUP($A88,Centrum!$D$3:$M$130,10,0))&gt;3),$A$1&lt;5),"",VLOOKUP(VLOOKUP($A88,Centrum!$D$3:$M$130,10,0),Centrum!$A$3:$CB$130,BC$132,0))</f>
        <v/>
      </c>
      <c r="BD88" s="333" t="str">
        <f>IF(OR(OR($A88="",TYPE(VLOOKUP($A88,Centrum!$D$3:$M$130,10,0))&gt;3),$A$1&lt;5),"",VLOOKUP(VLOOKUP($A88,Centrum!$D$3:$M$130,10,0),Centrum!$A$3:$CB$130,BD$132,0))</f>
        <v/>
      </c>
      <c r="BE88" s="333" t="str">
        <f>IF(OR(OR($A88="",TYPE(VLOOKUP($A88,Centrum!$D$3:$M$130,10,0))&gt;3),$A$1&lt;5),"",VLOOKUP(VLOOKUP($A88,Centrum!$D$3:$M$130,10,0),Centrum!$A$3:$CB$130,BE$132,0))</f>
        <v/>
      </c>
      <c r="BL88" s="333" t="str">
        <f>IF(OR(OR($A88="",TYPE(VLOOKUP($A88,Centrum!$D$3:$M$130,10,0))&gt;3),$A$1&lt;6),"",VLOOKUP(VLOOKUP($A88,Centrum!$D$3:$M$130,10,0),Centrum!$A$3:$CB$130,BL$132,0))</f>
        <v/>
      </c>
      <c r="BM88" s="333" t="str">
        <f>IF(OR(OR($A88="",TYPE(VLOOKUP($A88,Centrum!$D$3:$M$130,10,0))&gt;3),$A$1&lt;6),"",VLOOKUP(VLOOKUP($A88,Centrum!$D$3:$M$130,10,0),Centrum!$A$3:$CB$130,BM$132,0))</f>
        <v/>
      </c>
      <c r="BN88" s="333" t="str">
        <f>IF(OR(OR($A88="",TYPE(VLOOKUP($A88,Centrum!$D$3:$M$130,10,0))&gt;3),$A$1&lt;6),"",VLOOKUP(VLOOKUP($A88,Centrum!$D$3:$M$130,10,0),Centrum!$A$3:$CB$130,BN$132,0))</f>
        <v/>
      </c>
    </row>
    <row r="89" spans="1:66" x14ac:dyDescent="0.25">
      <c r="A89" s="333" t="str">
        <f>Centrum!A89</f>
        <v/>
      </c>
      <c r="B89" s="439" t="str">
        <f>IF(OR($A89="",TYPE(VLOOKUP($A89,Centrum!$D$3:$M$130,10,0))&gt;3),"",VLOOKUP(VLOOKUP(A89,Centrum!$D$3:$M$130,10,0),Centrum!$A$3:$CB$130,B$132,0))</f>
        <v/>
      </c>
      <c r="C89" s="333" t="str">
        <f>IF(OR($A89="",TYPE(VLOOKUP($A89,Centrum!$D$3:$M$130,10,0))&gt;3),"",VLOOKUP($A89,Centrum!$D$3:$M$130,10,0))</f>
        <v/>
      </c>
      <c r="E89" s="333" t="str">
        <f>IF(OR($A89="",TYPE(VLOOKUP($A89,Centrum!$D$3:$M$130,10,0))&gt;3),"",VLOOKUP(VLOOKUP($A89,Centrum!$D$3:$M$130,10,0),Centrum!$A$3:$CB$130,E$132,0))</f>
        <v/>
      </c>
      <c r="F89" s="333" t="str">
        <f>IF(OR($A89="",TYPE(VLOOKUP($A89,Centrum!$D$3:$M$130,10,0))&gt;3),"",VLOOKUP(VLOOKUP($A89,Centrum!$D$3:$M$130,10,0),Centrum!$A$3:$CB$130,F$132,0))</f>
        <v/>
      </c>
      <c r="G89" s="333" t="str">
        <f>IF(OR($A89="",TYPE(VLOOKUP($A89,Centrum!$D$3:$M$130,10,0))&gt;3),"",VLOOKUP(VLOOKUP($A89,Centrum!$D$3:$M$130,10,0),Centrum!$A$3:$CB$130,G$132,0))</f>
        <v/>
      </c>
      <c r="H89" s="333" t="str">
        <f>IF($A89="","",VLOOKUP(VLOOKUP($A89,Centrum!$D$3:$M$130,10,0),Centrum!$A$3:$CB$130,H$132,0))</f>
        <v/>
      </c>
      <c r="I89" s="333" t="str">
        <f>IF($A89="","",VLOOKUP(VLOOKUP($A89,Centrum!$D$3:$M$130,10,0),Centrum!$A$3:$CB$130,I$132,0))</f>
        <v/>
      </c>
      <c r="J89" s="333" t="str">
        <f>IF(OR($A89="",TYPE(VLOOKUP($A89,Centrum!$D$3:$M$130,10,0))&gt;3),"",VLOOKUP(VLOOKUP($A89,Centrum!$D$3:$M$130,10,0),Centrum!$A$3:$CB$130,J$132,0))</f>
        <v/>
      </c>
      <c r="L89" s="333" t="str">
        <f>IF(OR($A89="",TYPE(VLOOKUP($A89,Centrum!$D$3:$M$130,10,0))&gt;3),"",VLOOKUP(VLOOKUP($A89,Centrum!$D$3:$M$130,10,0),Centrum!$A$3:$CB$130,L$132,0))</f>
        <v/>
      </c>
      <c r="M89" s="333" t="str">
        <f>IF(OR($A89="",TYPE(VLOOKUP($A89,Centrum!$D$3:$M$130,10,0))&gt;3),"",VLOOKUP(VLOOKUP($A89,Centrum!$D$3:$M$130,10,0),Centrum!$A$3:$CB$130,M$132,0))</f>
        <v/>
      </c>
      <c r="N89" s="333" t="str">
        <f>IF(OR($A89="",TYPE(VLOOKUP($A89,Centrum!$D$3:$M$130,10,0))&gt;3),"",VLOOKUP(VLOOKUP($A89,Centrum!$D$3:$M$130,10,0),Centrum!$A$3:$CB$130,N$132,0))</f>
        <v/>
      </c>
      <c r="O89" s="333" t="str">
        <f>IF(OR($A89="",TYPE(VLOOKUP($A89,Centrum!$D$3:$M$130,10,0))&gt;3),"",VLOOKUP(VLOOKUP($A89,Centrum!$D$3:$M$130,10,0),Centrum!$A$3:$CB$130,O$132,0))</f>
        <v/>
      </c>
      <c r="P89" s="333" t="str">
        <f>IF(OR($A89="",TYPE(VLOOKUP($A89,Centrum!$D$3:$M$130,10,0))&gt;3),"",VLOOKUP(VLOOKUP($A89,Centrum!$D$3:$M$130,10,0),Centrum!$A$3:$CB$130,P$132,0))</f>
        <v/>
      </c>
      <c r="Q89" s="333" t="str">
        <f>IF(OR($A89="",TYPE(VLOOKUP($A89,Centrum!$D$3:$M$130,10,0))&gt;3),"",VLOOKUP(VLOOKUP($A89,Centrum!$D$3:$M$130,10,0),Centrum!$A$3:$CB$130,Q$132,0))</f>
        <v/>
      </c>
      <c r="S89" s="333" t="str">
        <f>IF(OR($A89="",TYPE(VLOOKUP($A89,Centrum!$D$3:$M$130,10,0))&gt;3),"",VLOOKUP(VLOOKUP($A89,Centrum!$D$3:$M$130,10,0),Centrum!$A$3:$CB$130,S$132,0))</f>
        <v/>
      </c>
      <c r="T89" s="333" t="str">
        <f>IF(OR($A89="",TYPE(VLOOKUP($A89,Centrum!$D$3:$M$130,10,0))&gt;3),"",VLOOKUP(VLOOKUP($A89,Centrum!$D$3:$M$130,10,0),Centrum!$A$3:$CB$130,T$132,0))</f>
        <v/>
      </c>
      <c r="U89" s="333" t="str">
        <f>IF(OR($A89="",TYPE(VLOOKUP($A89,Centrum!$D$3:$M$130,10,0))&gt;3),"",VLOOKUP(VLOOKUP($A89,Centrum!$D$3:$M$130,10,0),Centrum!$A$3:$CB$130,U$132,0))</f>
        <v/>
      </c>
      <c r="AB89" s="333" t="str">
        <f>IF(OR($A89="",TYPE(VLOOKUP($A89,Centrum!$D$3:$M$130,10,0))&gt;3),"",VLOOKUP(VLOOKUP($A89,Centrum!$D$3:$M$130,10,0),Centrum!$A$3:$CB$130,AB$132,0))</f>
        <v/>
      </c>
      <c r="AC89" s="333" t="str">
        <f>IF(OR($A89="",TYPE(VLOOKUP($A89,Centrum!$D$3:$M$130,10,0))&gt;3),"",VLOOKUP(VLOOKUP($A89,Centrum!$D$3:$M$130,10,0),Centrum!$A$3:$CB$130,AC$132,0))</f>
        <v/>
      </c>
      <c r="AD89" s="333" t="str">
        <f>IF(OR($A89="",TYPE(VLOOKUP($A89,Centrum!$D$3:$M$130,10,0))&gt;3),"",VLOOKUP(VLOOKUP($A89,Centrum!$D$3:$M$130,10,0),Centrum!$A$3:$CB$130,AD$132,0))</f>
        <v/>
      </c>
      <c r="AK89" s="333" t="str">
        <f>IF(OR($A89="",TYPE(VLOOKUP($A89,Centrum!$D$3:$M$130,10,0))&gt;3),"",VLOOKUP(VLOOKUP($A89,Centrum!$D$3:$M$130,10,0),Centrum!$A$3:$CB$130,AK$132,0))</f>
        <v/>
      </c>
      <c r="AL89" s="333" t="str">
        <f>IF(OR($A89="",TYPE(VLOOKUP($A89,Centrum!$D$3:$M$130,10,0))&gt;3),"",VLOOKUP(VLOOKUP($A89,Centrum!$D$3:$M$130,10,0),Centrum!$A$3:$CB$130,AL$132,0))</f>
        <v/>
      </c>
      <c r="AM89" s="333" t="str">
        <f>IF(OR($A89="",TYPE(VLOOKUP($A89,Centrum!$D$3:$M$130,10,0))&gt;3),"",VLOOKUP(VLOOKUP($A89,Centrum!$D$3:$M$130,10,0),Centrum!$A$3:$CB$130,AM$132,0))</f>
        <v/>
      </c>
      <c r="AT89" s="333" t="str">
        <f>IF(OR(OR($A89="",TYPE(VLOOKUP($A89,Centrum!$D$3:$M$130,10,0))&gt;3),$A$1&lt;4),"",VLOOKUP(VLOOKUP($A89,Centrum!$D$3:$M$130,10,0),Centrum!$A$3:$CB$130,AT$132,0))</f>
        <v/>
      </c>
      <c r="AU89" s="333" t="str">
        <f>IF(OR(OR($A89="",TYPE(VLOOKUP($A89,Centrum!$D$3:$M$130,10,0))&gt;3),$A$1&lt;4),"",VLOOKUP(VLOOKUP($A89,Centrum!$D$3:$M$130,10,0),Centrum!$A$3:$CB$130,AU$132,0))</f>
        <v/>
      </c>
      <c r="AV89" s="333" t="str">
        <f>IF(OR(OR($A89="",TYPE(VLOOKUP($A89,Centrum!$D$3:$M$130,10,0))&gt;3),$A$1&lt;4),"",VLOOKUP(VLOOKUP($A89,Centrum!$D$3:$M$130,10,0),Centrum!$A$3:$CB$130,AV$132,0))</f>
        <v/>
      </c>
      <c r="BC89" s="333" t="str">
        <f>IF(OR(OR($A89="",TYPE(VLOOKUP($A89,Centrum!$D$3:$M$130,10,0))&gt;3),$A$1&lt;5),"",VLOOKUP(VLOOKUP($A89,Centrum!$D$3:$M$130,10,0),Centrum!$A$3:$CB$130,BC$132,0))</f>
        <v/>
      </c>
      <c r="BD89" s="333" t="str">
        <f>IF(OR(OR($A89="",TYPE(VLOOKUP($A89,Centrum!$D$3:$M$130,10,0))&gt;3),$A$1&lt;5),"",VLOOKUP(VLOOKUP($A89,Centrum!$D$3:$M$130,10,0),Centrum!$A$3:$CB$130,BD$132,0))</f>
        <v/>
      </c>
      <c r="BE89" s="333" t="str">
        <f>IF(OR(OR($A89="",TYPE(VLOOKUP($A89,Centrum!$D$3:$M$130,10,0))&gt;3),$A$1&lt;5),"",VLOOKUP(VLOOKUP($A89,Centrum!$D$3:$M$130,10,0),Centrum!$A$3:$CB$130,BE$132,0))</f>
        <v/>
      </c>
      <c r="BL89" s="333" t="str">
        <f>IF(OR(OR($A89="",TYPE(VLOOKUP($A89,Centrum!$D$3:$M$130,10,0))&gt;3),$A$1&lt;6),"",VLOOKUP(VLOOKUP($A89,Centrum!$D$3:$M$130,10,0),Centrum!$A$3:$CB$130,BL$132,0))</f>
        <v/>
      </c>
      <c r="BM89" s="333" t="str">
        <f>IF(OR(OR($A89="",TYPE(VLOOKUP($A89,Centrum!$D$3:$M$130,10,0))&gt;3),$A$1&lt;6),"",VLOOKUP(VLOOKUP($A89,Centrum!$D$3:$M$130,10,0),Centrum!$A$3:$CB$130,BM$132,0))</f>
        <v/>
      </c>
      <c r="BN89" s="333" t="str">
        <f>IF(OR(OR($A89="",TYPE(VLOOKUP($A89,Centrum!$D$3:$M$130,10,0))&gt;3),$A$1&lt;6),"",VLOOKUP(VLOOKUP($A89,Centrum!$D$3:$M$130,10,0),Centrum!$A$3:$CB$130,BN$132,0))</f>
        <v/>
      </c>
    </row>
    <row r="90" spans="1:66" x14ac:dyDescent="0.25">
      <c r="A90" s="333" t="str">
        <f>Centrum!A90</f>
        <v/>
      </c>
      <c r="B90" s="439" t="str">
        <f>IF(OR($A90="",TYPE(VLOOKUP($A90,Centrum!$D$3:$M$130,10,0))&gt;3),"",VLOOKUP(VLOOKUP(A90,Centrum!$D$3:$M$130,10,0),Centrum!$A$3:$CB$130,B$132,0))</f>
        <v/>
      </c>
      <c r="C90" s="333" t="str">
        <f>IF(OR($A90="",TYPE(VLOOKUP($A90,Centrum!$D$3:$M$130,10,0))&gt;3),"",VLOOKUP($A90,Centrum!$D$3:$M$130,10,0))</f>
        <v/>
      </c>
      <c r="E90" s="333" t="str">
        <f>IF(OR($A90="",TYPE(VLOOKUP($A90,Centrum!$D$3:$M$130,10,0))&gt;3),"",VLOOKUP(VLOOKUP($A90,Centrum!$D$3:$M$130,10,0),Centrum!$A$3:$CB$130,E$132,0))</f>
        <v/>
      </c>
      <c r="F90" s="333" t="str">
        <f>IF(OR($A90="",TYPE(VLOOKUP($A90,Centrum!$D$3:$M$130,10,0))&gt;3),"",VLOOKUP(VLOOKUP($A90,Centrum!$D$3:$M$130,10,0),Centrum!$A$3:$CB$130,F$132,0))</f>
        <v/>
      </c>
      <c r="G90" s="333" t="str">
        <f>IF(OR($A90="",TYPE(VLOOKUP($A90,Centrum!$D$3:$M$130,10,0))&gt;3),"",VLOOKUP(VLOOKUP($A90,Centrum!$D$3:$M$130,10,0),Centrum!$A$3:$CB$130,G$132,0))</f>
        <v/>
      </c>
      <c r="H90" s="333" t="str">
        <f>IF($A90="","",VLOOKUP(VLOOKUP($A90,Centrum!$D$3:$M$130,10,0),Centrum!$A$3:$CB$130,H$132,0))</f>
        <v/>
      </c>
      <c r="I90" s="333" t="str">
        <f>IF($A90="","",VLOOKUP(VLOOKUP($A90,Centrum!$D$3:$M$130,10,0),Centrum!$A$3:$CB$130,I$132,0))</f>
        <v/>
      </c>
      <c r="J90" s="333" t="str">
        <f>IF(OR($A90="",TYPE(VLOOKUP($A90,Centrum!$D$3:$M$130,10,0))&gt;3),"",VLOOKUP(VLOOKUP($A90,Centrum!$D$3:$M$130,10,0),Centrum!$A$3:$CB$130,J$132,0))</f>
        <v/>
      </c>
      <c r="L90" s="333" t="str">
        <f>IF(OR($A90="",TYPE(VLOOKUP($A90,Centrum!$D$3:$M$130,10,0))&gt;3),"",VLOOKUP(VLOOKUP($A90,Centrum!$D$3:$M$130,10,0),Centrum!$A$3:$CB$130,L$132,0))</f>
        <v/>
      </c>
      <c r="M90" s="333" t="str">
        <f>IF(OR($A90="",TYPE(VLOOKUP($A90,Centrum!$D$3:$M$130,10,0))&gt;3),"",VLOOKUP(VLOOKUP($A90,Centrum!$D$3:$M$130,10,0),Centrum!$A$3:$CB$130,M$132,0))</f>
        <v/>
      </c>
      <c r="N90" s="333" t="str">
        <f>IF(OR($A90="",TYPE(VLOOKUP($A90,Centrum!$D$3:$M$130,10,0))&gt;3),"",VLOOKUP(VLOOKUP($A90,Centrum!$D$3:$M$130,10,0),Centrum!$A$3:$CB$130,N$132,0))</f>
        <v/>
      </c>
      <c r="O90" s="333" t="str">
        <f>IF(OR($A90="",TYPE(VLOOKUP($A90,Centrum!$D$3:$M$130,10,0))&gt;3),"",VLOOKUP(VLOOKUP($A90,Centrum!$D$3:$M$130,10,0),Centrum!$A$3:$CB$130,O$132,0))</f>
        <v/>
      </c>
      <c r="P90" s="333" t="str">
        <f>IF(OR($A90="",TYPE(VLOOKUP($A90,Centrum!$D$3:$M$130,10,0))&gt;3),"",VLOOKUP(VLOOKUP($A90,Centrum!$D$3:$M$130,10,0),Centrum!$A$3:$CB$130,P$132,0))</f>
        <v/>
      </c>
      <c r="Q90" s="333" t="str">
        <f>IF(OR($A90="",TYPE(VLOOKUP($A90,Centrum!$D$3:$M$130,10,0))&gt;3),"",VLOOKUP(VLOOKUP($A90,Centrum!$D$3:$M$130,10,0),Centrum!$A$3:$CB$130,Q$132,0))</f>
        <v/>
      </c>
      <c r="S90" s="333" t="str">
        <f>IF(OR($A90="",TYPE(VLOOKUP($A90,Centrum!$D$3:$M$130,10,0))&gt;3),"",VLOOKUP(VLOOKUP($A90,Centrum!$D$3:$M$130,10,0),Centrum!$A$3:$CB$130,S$132,0))</f>
        <v/>
      </c>
      <c r="T90" s="333" t="str">
        <f>IF(OR($A90="",TYPE(VLOOKUP($A90,Centrum!$D$3:$M$130,10,0))&gt;3),"",VLOOKUP(VLOOKUP($A90,Centrum!$D$3:$M$130,10,0),Centrum!$A$3:$CB$130,T$132,0))</f>
        <v/>
      </c>
      <c r="U90" s="333" t="str">
        <f>IF(OR($A90="",TYPE(VLOOKUP($A90,Centrum!$D$3:$M$130,10,0))&gt;3),"",VLOOKUP(VLOOKUP($A90,Centrum!$D$3:$M$130,10,0),Centrum!$A$3:$CB$130,U$132,0))</f>
        <v/>
      </c>
      <c r="AB90" s="333" t="str">
        <f>IF(OR($A90="",TYPE(VLOOKUP($A90,Centrum!$D$3:$M$130,10,0))&gt;3),"",VLOOKUP(VLOOKUP($A90,Centrum!$D$3:$M$130,10,0),Centrum!$A$3:$CB$130,AB$132,0))</f>
        <v/>
      </c>
      <c r="AC90" s="333" t="str">
        <f>IF(OR($A90="",TYPE(VLOOKUP($A90,Centrum!$D$3:$M$130,10,0))&gt;3),"",VLOOKUP(VLOOKUP($A90,Centrum!$D$3:$M$130,10,0),Centrum!$A$3:$CB$130,AC$132,0))</f>
        <v/>
      </c>
      <c r="AD90" s="333" t="str">
        <f>IF(OR($A90="",TYPE(VLOOKUP($A90,Centrum!$D$3:$M$130,10,0))&gt;3),"",VLOOKUP(VLOOKUP($A90,Centrum!$D$3:$M$130,10,0),Centrum!$A$3:$CB$130,AD$132,0))</f>
        <v/>
      </c>
      <c r="AK90" s="333" t="str">
        <f>IF(OR($A90="",TYPE(VLOOKUP($A90,Centrum!$D$3:$M$130,10,0))&gt;3),"",VLOOKUP(VLOOKUP($A90,Centrum!$D$3:$M$130,10,0),Centrum!$A$3:$CB$130,AK$132,0))</f>
        <v/>
      </c>
      <c r="AL90" s="333" t="str">
        <f>IF(OR($A90="",TYPE(VLOOKUP($A90,Centrum!$D$3:$M$130,10,0))&gt;3),"",VLOOKUP(VLOOKUP($A90,Centrum!$D$3:$M$130,10,0),Centrum!$A$3:$CB$130,AL$132,0))</f>
        <v/>
      </c>
      <c r="AM90" s="333" t="str">
        <f>IF(OR($A90="",TYPE(VLOOKUP($A90,Centrum!$D$3:$M$130,10,0))&gt;3),"",VLOOKUP(VLOOKUP($A90,Centrum!$D$3:$M$130,10,0),Centrum!$A$3:$CB$130,AM$132,0))</f>
        <v/>
      </c>
      <c r="AT90" s="333" t="str">
        <f>IF(OR(OR($A90="",TYPE(VLOOKUP($A90,Centrum!$D$3:$M$130,10,0))&gt;3),$A$1&lt;4),"",VLOOKUP(VLOOKUP($A90,Centrum!$D$3:$M$130,10,0),Centrum!$A$3:$CB$130,AT$132,0))</f>
        <v/>
      </c>
      <c r="AU90" s="333" t="str">
        <f>IF(OR(OR($A90="",TYPE(VLOOKUP($A90,Centrum!$D$3:$M$130,10,0))&gt;3),$A$1&lt;4),"",VLOOKUP(VLOOKUP($A90,Centrum!$D$3:$M$130,10,0),Centrum!$A$3:$CB$130,AU$132,0))</f>
        <v/>
      </c>
      <c r="AV90" s="333" t="str">
        <f>IF(OR(OR($A90="",TYPE(VLOOKUP($A90,Centrum!$D$3:$M$130,10,0))&gt;3),$A$1&lt;4),"",VLOOKUP(VLOOKUP($A90,Centrum!$D$3:$M$130,10,0),Centrum!$A$3:$CB$130,AV$132,0))</f>
        <v/>
      </c>
      <c r="BC90" s="333" t="str">
        <f>IF(OR(OR($A90="",TYPE(VLOOKUP($A90,Centrum!$D$3:$M$130,10,0))&gt;3),$A$1&lt;5),"",VLOOKUP(VLOOKUP($A90,Centrum!$D$3:$M$130,10,0),Centrum!$A$3:$CB$130,BC$132,0))</f>
        <v/>
      </c>
      <c r="BD90" s="333" t="str">
        <f>IF(OR(OR($A90="",TYPE(VLOOKUP($A90,Centrum!$D$3:$M$130,10,0))&gt;3),$A$1&lt;5),"",VLOOKUP(VLOOKUP($A90,Centrum!$D$3:$M$130,10,0),Centrum!$A$3:$CB$130,BD$132,0))</f>
        <v/>
      </c>
      <c r="BE90" s="333" t="str">
        <f>IF(OR(OR($A90="",TYPE(VLOOKUP($A90,Centrum!$D$3:$M$130,10,0))&gt;3),$A$1&lt;5),"",VLOOKUP(VLOOKUP($A90,Centrum!$D$3:$M$130,10,0),Centrum!$A$3:$CB$130,BE$132,0))</f>
        <v/>
      </c>
      <c r="BL90" s="333" t="str">
        <f>IF(OR(OR($A90="",TYPE(VLOOKUP($A90,Centrum!$D$3:$M$130,10,0))&gt;3),$A$1&lt;6),"",VLOOKUP(VLOOKUP($A90,Centrum!$D$3:$M$130,10,0),Centrum!$A$3:$CB$130,BL$132,0))</f>
        <v/>
      </c>
      <c r="BM90" s="333" t="str">
        <f>IF(OR(OR($A90="",TYPE(VLOOKUP($A90,Centrum!$D$3:$M$130,10,0))&gt;3),$A$1&lt;6),"",VLOOKUP(VLOOKUP($A90,Centrum!$D$3:$M$130,10,0),Centrum!$A$3:$CB$130,BM$132,0))</f>
        <v/>
      </c>
      <c r="BN90" s="333" t="str">
        <f>IF(OR(OR($A90="",TYPE(VLOOKUP($A90,Centrum!$D$3:$M$130,10,0))&gt;3),$A$1&lt;6),"",VLOOKUP(VLOOKUP($A90,Centrum!$D$3:$M$130,10,0),Centrum!$A$3:$CB$130,BN$132,0))</f>
        <v/>
      </c>
    </row>
    <row r="91" spans="1:66" x14ac:dyDescent="0.25">
      <c r="A91" s="333" t="str">
        <f>Centrum!A91</f>
        <v/>
      </c>
      <c r="B91" s="439" t="str">
        <f>IF(OR($A91="",TYPE(VLOOKUP($A91,Centrum!$D$3:$M$130,10,0))&gt;3),"",VLOOKUP(VLOOKUP(A91,Centrum!$D$3:$M$130,10,0),Centrum!$A$3:$CB$130,B$132,0))</f>
        <v/>
      </c>
      <c r="C91" s="333" t="str">
        <f>IF(OR($A91="",TYPE(VLOOKUP($A91,Centrum!$D$3:$M$130,10,0))&gt;3),"",VLOOKUP($A91,Centrum!$D$3:$M$130,10,0))</f>
        <v/>
      </c>
      <c r="E91" s="333" t="str">
        <f>IF(OR($A91="",TYPE(VLOOKUP($A91,Centrum!$D$3:$M$130,10,0))&gt;3),"",VLOOKUP(VLOOKUP($A91,Centrum!$D$3:$M$130,10,0),Centrum!$A$3:$CB$130,E$132,0))</f>
        <v/>
      </c>
      <c r="F91" s="333" t="str">
        <f>IF(OR($A91="",TYPE(VLOOKUP($A91,Centrum!$D$3:$M$130,10,0))&gt;3),"",VLOOKUP(VLOOKUP($A91,Centrum!$D$3:$M$130,10,0),Centrum!$A$3:$CB$130,F$132,0))</f>
        <v/>
      </c>
      <c r="G91" s="333" t="str">
        <f>IF(OR($A91="",TYPE(VLOOKUP($A91,Centrum!$D$3:$M$130,10,0))&gt;3),"",VLOOKUP(VLOOKUP($A91,Centrum!$D$3:$M$130,10,0),Centrum!$A$3:$CB$130,G$132,0))</f>
        <v/>
      </c>
      <c r="H91" s="333" t="str">
        <f>IF($A91="","",VLOOKUP(VLOOKUP($A91,Centrum!$D$3:$M$130,10,0),Centrum!$A$3:$CB$130,H$132,0))</f>
        <v/>
      </c>
      <c r="I91" s="333" t="str">
        <f>IF($A91="","",VLOOKUP(VLOOKUP($A91,Centrum!$D$3:$M$130,10,0),Centrum!$A$3:$CB$130,I$132,0))</f>
        <v/>
      </c>
      <c r="J91" s="333" t="str">
        <f>IF(OR($A91="",TYPE(VLOOKUP($A91,Centrum!$D$3:$M$130,10,0))&gt;3),"",VLOOKUP(VLOOKUP($A91,Centrum!$D$3:$M$130,10,0),Centrum!$A$3:$CB$130,J$132,0))</f>
        <v/>
      </c>
      <c r="L91" s="333" t="str">
        <f>IF(OR($A91="",TYPE(VLOOKUP($A91,Centrum!$D$3:$M$130,10,0))&gt;3),"",VLOOKUP(VLOOKUP($A91,Centrum!$D$3:$M$130,10,0),Centrum!$A$3:$CB$130,L$132,0))</f>
        <v/>
      </c>
      <c r="M91" s="333" t="str">
        <f>IF(OR($A91="",TYPE(VLOOKUP($A91,Centrum!$D$3:$M$130,10,0))&gt;3),"",VLOOKUP(VLOOKUP($A91,Centrum!$D$3:$M$130,10,0),Centrum!$A$3:$CB$130,M$132,0))</f>
        <v/>
      </c>
      <c r="N91" s="333" t="str">
        <f>IF(OR($A91="",TYPE(VLOOKUP($A91,Centrum!$D$3:$M$130,10,0))&gt;3),"",VLOOKUP(VLOOKUP($A91,Centrum!$D$3:$M$130,10,0),Centrum!$A$3:$CB$130,N$132,0))</f>
        <v/>
      </c>
      <c r="O91" s="333" t="str">
        <f>IF(OR($A91="",TYPE(VLOOKUP($A91,Centrum!$D$3:$M$130,10,0))&gt;3),"",VLOOKUP(VLOOKUP($A91,Centrum!$D$3:$M$130,10,0),Centrum!$A$3:$CB$130,O$132,0))</f>
        <v/>
      </c>
      <c r="P91" s="333" t="str">
        <f>IF(OR($A91="",TYPE(VLOOKUP($A91,Centrum!$D$3:$M$130,10,0))&gt;3),"",VLOOKUP(VLOOKUP($A91,Centrum!$D$3:$M$130,10,0),Centrum!$A$3:$CB$130,P$132,0))</f>
        <v/>
      </c>
      <c r="Q91" s="333" t="str">
        <f>IF(OR($A91="",TYPE(VLOOKUP($A91,Centrum!$D$3:$M$130,10,0))&gt;3),"",VLOOKUP(VLOOKUP($A91,Centrum!$D$3:$M$130,10,0),Centrum!$A$3:$CB$130,Q$132,0))</f>
        <v/>
      </c>
      <c r="S91" s="333" t="str">
        <f>IF(OR($A91="",TYPE(VLOOKUP($A91,Centrum!$D$3:$M$130,10,0))&gt;3),"",VLOOKUP(VLOOKUP($A91,Centrum!$D$3:$M$130,10,0),Centrum!$A$3:$CB$130,S$132,0))</f>
        <v/>
      </c>
      <c r="T91" s="333" t="str">
        <f>IF(OR($A91="",TYPE(VLOOKUP($A91,Centrum!$D$3:$M$130,10,0))&gt;3),"",VLOOKUP(VLOOKUP($A91,Centrum!$D$3:$M$130,10,0),Centrum!$A$3:$CB$130,T$132,0))</f>
        <v/>
      </c>
      <c r="U91" s="333" t="str">
        <f>IF(OR($A91="",TYPE(VLOOKUP($A91,Centrum!$D$3:$M$130,10,0))&gt;3),"",VLOOKUP(VLOOKUP($A91,Centrum!$D$3:$M$130,10,0),Centrum!$A$3:$CB$130,U$132,0))</f>
        <v/>
      </c>
      <c r="AB91" s="333" t="str">
        <f>IF(OR($A91="",TYPE(VLOOKUP($A91,Centrum!$D$3:$M$130,10,0))&gt;3),"",VLOOKUP(VLOOKUP($A91,Centrum!$D$3:$M$130,10,0),Centrum!$A$3:$CB$130,AB$132,0))</f>
        <v/>
      </c>
      <c r="AC91" s="333" t="str">
        <f>IF(OR($A91="",TYPE(VLOOKUP($A91,Centrum!$D$3:$M$130,10,0))&gt;3),"",VLOOKUP(VLOOKUP($A91,Centrum!$D$3:$M$130,10,0),Centrum!$A$3:$CB$130,AC$132,0))</f>
        <v/>
      </c>
      <c r="AD91" s="333" t="str">
        <f>IF(OR($A91="",TYPE(VLOOKUP($A91,Centrum!$D$3:$M$130,10,0))&gt;3),"",VLOOKUP(VLOOKUP($A91,Centrum!$D$3:$M$130,10,0),Centrum!$A$3:$CB$130,AD$132,0))</f>
        <v/>
      </c>
      <c r="AK91" s="333" t="str">
        <f>IF(OR($A91="",TYPE(VLOOKUP($A91,Centrum!$D$3:$M$130,10,0))&gt;3),"",VLOOKUP(VLOOKUP($A91,Centrum!$D$3:$M$130,10,0),Centrum!$A$3:$CB$130,AK$132,0))</f>
        <v/>
      </c>
      <c r="AL91" s="333" t="str">
        <f>IF(OR($A91="",TYPE(VLOOKUP($A91,Centrum!$D$3:$M$130,10,0))&gt;3),"",VLOOKUP(VLOOKUP($A91,Centrum!$D$3:$M$130,10,0),Centrum!$A$3:$CB$130,AL$132,0))</f>
        <v/>
      </c>
      <c r="AM91" s="333" t="str">
        <f>IF(OR($A91="",TYPE(VLOOKUP($A91,Centrum!$D$3:$M$130,10,0))&gt;3),"",VLOOKUP(VLOOKUP($A91,Centrum!$D$3:$M$130,10,0),Centrum!$A$3:$CB$130,AM$132,0))</f>
        <v/>
      </c>
      <c r="AT91" s="333" t="str">
        <f>IF(OR(OR($A91="",TYPE(VLOOKUP($A91,Centrum!$D$3:$M$130,10,0))&gt;3),$A$1&lt;4),"",VLOOKUP(VLOOKUP($A91,Centrum!$D$3:$M$130,10,0),Centrum!$A$3:$CB$130,AT$132,0))</f>
        <v/>
      </c>
      <c r="AU91" s="333" t="str">
        <f>IF(OR(OR($A91="",TYPE(VLOOKUP($A91,Centrum!$D$3:$M$130,10,0))&gt;3),$A$1&lt;4),"",VLOOKUP(VLOOKUP($A91,Centrum!$D$3:$M$130,10,0),Centrum!$A$3:$CB$130,AU$132,0))</f>
        <v/>
      </c>
      <c r="AV91" s="333" t="str">
        <f>IF(OR(OR($A91="",TYPE(VLOOKUP($A91,Centrum!$D$3:$M$130,10,0))&gt;3),$A$1&lt;4),"",VLOOKUP(VLOOKUP($A91,Centrum!$D$3:$M$130,10,0),Centrum!$A$3:$CB$130,AV$132,0))</f>
        <v/>
      </c>
      <c r="BC91" s="333" t="str">
        <f>IF(OR(OR($A91="",TYPE(VLOOKUP($A91,Centrum!$D$3:$M$130,10,0))&gt;3),$A$1&lt;5),"",VLOOKUP(VLOOKUP($A91,Centrum!$D$3:$M$130,10,0),Centrum!$A$3:$CB$130,BC$132,0))</f>
        <v/>
      </c>
      <c r="BD91" s="333" t="str">
        <f>IF(OR(OR($A91="",TYPE(VLOOKUP($A91,Centrum!$D$3:$M$130,10,0))&gt;3),$A$1&lt;5),"",VLOOKUP(VLOOKUP($A91,Centrum!$D$3:$M$130,10,0),Centrum!$A$3:$CB$130,BD$132,0))</f>
        <v/>
      </c>
      <c r="BE91" s="333" t="str">
        <f>IF(OR(OR($A91="",TYPE(VLOOKUP($A91,Centrum!$D$3:$M$130,10,0))&gt;3),$A$1&lt;5),"",VLOOKUP(VLOOKUP($A91,Centrum!$D$3:$M$130,10,0),Centrum!$A$3:$CB$130,BE$132,0))</f>
        <v/>
      </c>
      <c r="BL91" s="333" t="str">
        <f>IF(OR(OR($A91="",TYPE(VLOOKUP($A91,Centrum!$D$3:$M$130,10,0))&gt;3),$A$1&lt;6),"",VLOOKUP(VLOOKUP($A91,Centrum!$D$3:$M$130,10,0),Centrum!$A$3:$CB$130,BL$132,0))</f>
        <v/>
      </c>
      <c r="BM91" s="333" t="str">
        <f>IF(OR(OR($A91="",TYPE(VLOOKUP($A91,Centrum!$D$3:$M$130,10,0))&gt;3),$A$1&lt;6),"",VLOOKUP(VLOOKUP($A91,Centrum!$D$3:$M$130,10,0),Centrum!$A$3:$CB$130,BM$132,0))</f>
        <v/>
      </c>
      <c r="BN91" s="333" t="str">
        <f>IF(OR(OR($A91="",TYPE(VLOOKUP($A91,Centrum!$D$3:$M$130,10,0))&gt;3),$A$1&lt;6),"",VLOOKUP(VLOOKUP($A91,Centrum!$D$3:$M$130,10,0),Centrum!$A$3:$CB$130,BN$132,0))</f>
        <v/>
      </c>
    </row>
    <row r="92" spans="1:66" x14ac:dyDescent="0.25">
      <c r="A92" s="333" t="str">
        <f>Centrum!A92</f>
        <v/>
      </c>
      <c r="B92" s="439" t="str">
        <f>IF(OR($A92="",TYPE(VLOOKUP($A92,Centrum!$D$3:$M$130,10,0))&gt;3),"",VLOOKUP(VLOOKUP(A92,Centrum!$D$3:$M$130,10,0),Centrum!$A$3:$CB$130,B$132,0))</f>
        <v/>
      </c>
      <c r="C92" s="333" t="str">
        <f>IF(OR($A92="",TYPE(VLOOKUP($A92,Centrum!$D$3:$M$130,10,0))&gt;3),"",VLOOKUP($A92,Centrum!$D$3:$M$130,10,0))</f>
        <v/>
      </c>
      <c r="E92" s="333" t="str">
        <f>IF(OR($A92="",TYPE(VLOOKUP($A92,Centrum!$D$3:$M$130,10,0))&gt;3),"",VLOOKUP(VLOOKUP($A92,Centrum!$D$3:$M$130,10,0),Centrum!$A$3:$CB$130,E$132,0))</f>
        <v/>
      </c>
      <c r="F92" s="333" t="str">
        <f>IF(OR($A92="",TYPE(VLOOKUP($A92,Centrum!$D$3:$M$130,10,0))&gt;3),"",VLOOKUP(VLOOKUP($A92,Centrum!$D$3:$M$130,10,0),Centrum!$A$3:$CB$130,F$132,0))</f>
        <v/>
      </c>
      <c r="G92" s="333" t="str">
        <f>IF(OR($A92="",TYPE(VLOOKUP($A92,Centrum!$D$3:$M$130,10,0))&gt;3),"",VLOOKUP(VLOOKUP($A92,Centrum!$D$3:$M$130,10,0),Centrum!$A$3:$CB$130,G$132,0))</f>
        <v/>
      </c>
      <c r="H92" s="333" t="str">
        <f>IF($A92="","",VLOOKUP(VLOOKUP($A92,Centrum!$D$3:$M$130,10,0),Centrum!$A$3:$CB$130,H$132,0))</f>
        <v/>
      </c>
      <c r="I92" s="333" t="str">
        <f>IF($A92="","",VLOOKUP(VLOOKUP($A92,Centrum!$D$3:$M$130,10,0),Centrum!$A$3:$CB$130,I$132,0))</f>
        <v/>
      </c>
      <c r="J92" s="333" t="str">
        <f>IF(OR($A92="",TYPE(VLOOKUP($A92,Centrum!$D$3:$M$130,10,0))&gt;3),"",VLOOKUP(VLOOKUP($A92,Centrum!$D$3:$M$130,10,0),Centrum!$A$3:$CB$130,J$132,0))</f>
        <v/>
      </c>
      <c r="L92" s="333" t="str">
        <f>IF(OR($A92="",TYPE(VLOOKUP($A92,Centrum!$D$3:$M$130,10,0))&gt;3),"",VLOOKUP(VLOOKUP($A92,Centrum!$D$3:$M$130,10,0),Centrum!$A$3:$CB$130,L$132,0))</f>
        <v/>
      </c>
      <c r="M92" s="333" t="str">
        <f>IF(OR($A92="",TYPE(VLOOKUP($A92,Centrum!$D$3:$M$130,10,0))&gt;3),"",VLOOKUP(VLOOKUP($A92,Centrum!$D$3:$M$130,10,0),Centrum!$A$3:$CB$130,M$132,0))</f>
        <v/>
      </c>
      <c r="N92" s="333" t="str">
        <f>IF(OR($A92="",TYPE(VLOOKUP($A92,Centrum!$D$3:$M$130,10,0))&gt;3),"",VLOOKUP(VLOOKUP($A92,Centrum!$D$3:$M$130,10,0),Centrum!$A$3:$CB$130,N$132,0))</f>
        <v/>
      </c>
      <c r="O92" s="333" t="str">
        <f>IF(OR($A92="",TYPE(VLOOKUP($A92,Centrum!$D$3:$M$130,10,0))&gt;3),"",VLOOKUP(VLOOKUP($A92,Centrum!$D$3:$M$130,10,0),Centrum!$A$3:$CB$130,O$132,0))</f>
        <v/>
      </c>
      <c r="P92" s="333" t="str">
        <f>IF(OR($A92="",TYPE(VLOOKUP($A92,Centrum!$D$3:$M$130,10,0))&gt;3),"",VLOOKUP(VLOOKUP($A92,Centrum!$D$3:$M$130,10,0),Centrum!$A$3:$CB$130,P$132,0))</f>
        <v/>
      </c>
      <c r="Q92" s="333" t="str">
        <f>IF(OR($A92="",TYPE(VLOOKUP($A92,Centrum!$D$3:$M$130,10,0))&gt;3),"",VLOOKUP(VLOOKUP($A92,Centrum!$D$3:$M$130,10,0),Centrum!$A$3:$CB$130,Q$132,0))</f>
        <v/>
      </c>
      <c r="S92" s="333" t="str">
        <f>IF(OR($A92="",TYPE(VLOOKUP($A92,Centrum!$D$3:$M$130,10,0))&gt;3),"",VLOOKUP(VLOOKUP($A92,Centrum!$D$3:$M$130,10,0),Centrum!$A$3:$CB$130,S$132,0))</f>
        <v/>
      </c>
      <c r="T92" s="333" t="str">
        <f>IF(OR($A92="",TYPE(VLOOKUP($A92,Centrum!$D$3:$M$130,10,0))&gt;3),"",VLOOKUP(VLOOKUP($A92,Centrum!$D$3:$M$130,10,0),Centrum!$A$3:$CB$130,T$132,0))</f>
        <v/>
      </c>
      <c r="U92" s="333" t="str">
        <f>IF(OR($A92="",TYPE(VLOOKUP($A92,Centrum!$D$3:$M$130,10,0))&gt;3),"",VLOOKUP(VLOOKUP($A92,Centrum!$D$3:$M$130,10,0),Centrum!$A$3:$CB$130,U$132,0))</f>
        <v/>
      </c>
      <c r="AB92" s="333" t="str">
        <f>IF(OR($A92="",TYPE(VLOOKUP($A92,Centrum!$D$3:$M$130,10,0))&gt;3),"",VLOOKUP(VLOOKUP($A92,Centrum!$D$3:$M$130,10,0),Centrum!$A$3:$CB$130,AB$132,0))</f>
        <v/>
      </c>
      <c r="AC92" s="333" t="str">
        <f>IF(OR($A92="",TYPE(VLOOKUP($A92,Centrum!$D$3:$M$130,10,0))&gt;3),"",VLOOKUP(VLOOKUP($A92,Centrum!$D$3:$M$130,10,0),Centrum!$A$3:$CB$130,AC$132,0))</f>
        <v/>
      </c>
      <c r="AD92" s="333" t="str">
        <f>IF(OR($A92="",TYPE(VLOOKUP($A92,Centrum!$D$3:$M$130,10,0))&gt;3),"",VLOOKUP(VLOOKUP($A92,Centrum!$D$3:$M$130,10,0),Centrum!$A$3:$CB$130,AD$132,0))</f>
        <v/>
      </c>
      <c r="AK92" s="333" t="str">
        <f>IF(OR($A92="",TYPE(VLOOKUP($A92,Centrum!$D$3:$M$130,10,0))&gt;3),"",VLOOKUP(VLOOKUP($A92,Centrum!$D$3:$M$130,10,0),Centrum!$A$3:$CB$130,AK$132,0))</f>
        <v/>
      </c>
      <c r="AL92" s="333" t="str">
        <f>IF(OR($A92="",TYPE(VLOOKUP($A92,Centrum!$D$3:$M$130,10,0))&gt;3),"",VLOOKUP(VLOOKUP($A92,Centrum!$D$3:$M$130,10,0),Centrum!$A$3:$CB$130,AL$132,0))</f>
        <v/>
      </c>
      <c r="AM92" s="333" t="str">
        <f>IF(OR($A92="",TYPE(VLOOKUP($A92,Centrum!$D$3:$M$130,10,0))&gt;3),"",VLOOKUP(VLOOKUP($A92,Centrum!$D$3:$M$130,10,0),Centrum!$A$3:$CB$130,AM$132,0))</f>
        <v/>
      </c>
      <c r="AT92" s="333" t="str">
        <f>IF(OR(OR($A92="",TYPE(VLOOKUP($A92,Centrum!$D$3:$M$130,10,0))&gt;3),$A$1&lt;4),"",VLOOKUP(VLOOKUP($A92,Centrum!$D$3:$M$130,10,0),Centrum!$A$3:$CB$130,AT$132,0))</f>
        <v/>
      </c>
      <c r="AU92" s="333" t="str">
        <f>IF(OR(OR($A92="",TYPE(VLOOKUP($A92,Centrum!$D$3:$M$130,10,0))&gt;3),$A$1&lt;4),"",VLOOKUP(VLOOKUP($A92,Centrum!$D$3:$M$130,10,0),Centrum!$A$3:$CB$130,AU$132,0))</f>
        <v/>
      </c>
      <c r="AV92" s="333" t="str">
        <f>IF(OR(OR($A92="",TYPE(VLOOKUP($A92,Centrum!$D$3:$M$130,10,0))&gt;3),$A$1&lt;4),"",VLOOKUP(VLOOKUP($A92,Centrum!$D$3:$M$130,10,0),Centrum!$A$3:$CB$130,AV$132,0))</f>
        <v/>
      </c>
      <c r="BC92" s="333" t="str">
        <f>IF(OR(OR($A92="",TYPE(VLOOKUP($A92,Centrum!$D$3:$M$130,10,0))&gt;3),$A$1&lt;5),"",VLOOKUP(VLOOKUP($A92,Centrum!$D$3:$M$130,10,0),Centrum!$A$3:$CB$130,BC$132,0))</f>
        <v/>
      </c>
      <c r="BD92" s="333" t="str">
        <f>IF(OR(OR($A92="",TYPE(VLOOKUP($A92,Centrum!$D$3:$M$130,10,0))&gt;3),$A$1&lt;5),"",VLOOKUP(VLOOKUP($A92,Centrum!$D$3:$M$130,10,0),Centrum!$A$3:$CB$130,BD$132,0))</f>
        <v/>
      </c>
      <c r="BE92" s="333" t="str">
        <f>IF(OR(OR($A92="",TYPE(VLOOKUP($A92,Centrum!$D$3:$M$130,10,0))&gt;3),$A$1&lt;5),"",VLOOKUP(VLOOKUP($A92,Centrum!$D$3:$M$130,10,0),Centrum!$A$3:$CB$130,BE$132,0))</f>
        <v/>
      </c>
      <c r="BL92" s="333" t="str">
        <f>IF(OR(OR($A92="",TYPE(VLOOKUP($A92,Centrum!$D$3:$M$130,10,0))&gt;3),$A$1&lt;6),"",VLOOKUP(VLOOKUP($A92,Centrum!$D$3:$M$130,10,0),Centrum!$A$3:$CB$130,BL$132,0))</f>
        <v/>
      </c>
      <c r="BM92" s="333" t="str">
        <f>IF(OR(OR($A92="",TYPE(VLOOKUP($A92,Centrum!$D$3:$M$130,10,0))&gt;3),$A$1&lt;6),"",VLOOKUP(VLOOKUP($A92,Centrum!$D$3:$M$130,10,0),Centrum!$A$3:$CB$130,BM$132,0))</f>
        <v/>
      </c>
      <c r="BN92" s="333" t="str">
        <f>IF(OR(OR($A92="",TYPE(VLOOKUP($A92,Centrum!$D$3:$M$130,10,0))&gt;3),$A$1&lt;6),"",VLOOKUP(VLOOKUP($A92,Centrum!$D$3:$M$130,10,0),Centrum!$A$3:$CB$130,BN$132,0))</f>
        <v/>
      </c>
    </row>
    <row r="93" spans="1:66" x14ac:dyDescent="0.25">
      <c r="A93" s="333" t="str">
        <f>Centrum!A93</f>
        <v/>
      </c>
      <c r="B93" s="439" t="str">
        <f>IF(OR($A93="",TYPE(VLOOKUP($A93,Centrum!$D$3:$M$130,10,0))&gt;3),"",VLOOKUP(VLOOKUP(A93,Centrum!$D$3:$M$130,10,0),Centrum!$A$3:$CB$130,B$132,0))</f>
        <v/>
      </c>
      <c r="C93" s="333" t="str">
        <f>IF(OR($A93="",TYPE(VLOOKUP($A93,Centrum!$D$3:$M$130,10,0))&gt;3),"",VLOOKUP($A93,Centrum!$D$3:$M$130,10,0))</f>
        <v/>
      </c>
      <c r="E93" s="333" t="str">
        <f>IF(OR($A93="",TYPE(VLOOKUP($A93,Centrum!$D$3:$M$130,10,0))&gt;3),"",VLOOKUP(VLOOKUP($A93,Centrum!$D$3:$M$130,10,0),Centrum!$A$3:$CB$130,E$132,0))</f>
        <v/>
      </c>
      <c r="F93" s="333" t="str">
        <f>IF(OR($A93="",TYPE(VLOOKUP($A93,Centrum!$D$3:$M$130,10,0))&gt;3),"",VLOOKUP(VLOOKUP($A93,Centrum!$D$3:$M$130,10,0),Centrum!$A$3:$CB$130,F$132,0))</f>
        <v/>
      </c>
      <c r="G93" s="333" t="str">
        <f>IF(OR($A93="",TYPE(VLOOKUP($A93,Centrum!$D$3:$M$130,10,0))&gt;3),"",VLOOKUP(VLOOKUP($A93,Centrum!$D$3:$M$130,10,0),Centrum!$A$3:$CB$130,G$132,0))</f>
        <v/>
      </c>
      <c r="H93" s="333" t="str">
        <f>IF($A93="","",VLOOKUP(VLOOKUP($A93,Centrum!$D$3:$M$130,10,0),Centrum!$A$3:$CB$130,H$132,0))</f>
        <v/>
      </c>
      <c r="I93" s="333" t="str">
        <f>IF($A93="","",VLOOKUP(VLOOKUP($A93,Centrum!$D$3:$M$130,10,0),Centrum!$A$3:$CB$130,I$132,0))</f>
        <v/>
      </c>
      <c r="J93" s="333" t="str">
        <f>IF(OR($A93="",TYPE(VLOOKUP($A93,Centrum!$D$3:$M$130,10,0))&gt;3),"",VLOOKUP(VLOOKUP($A93,Centrum!$D$3:$M$130,10,0),Centrum!$A$3:$CB$130,J$132,0))</f>
        <v/>
      </c>
      <c r="L93" s="333" t="str">
        <f>IF(OR($A93="",TYPE(VLOOKUP($A93,Centrum!$D$3:$M$130,10,0))&gt;3),"",VLOOKUP(VLOOKUP($A93,Centrum!$D$3:$M$130,10,0),Centrum!$A$3:$CB$130,L$132,0))</f>
        <v/>
      </c>
      <c r="M93" s="333" t="str">
        <f>IF(OR($A93="",TYPE(VLOOKUP($A93,Centrum!$D$3:$M$130,10,0))&gt;3),"",VLOOKUP(VLOOKUP($A93,Centrum!$D$3:$M$130,10,0),Centrum!$A$3:$CB$130,M$132,0))</f>
        <v/>
      </c>
      <c r="N93" s="333" t="str">
        <f>IF(OR($A93="",TYPE(VLOOKUP($A93,Centrum!$D$3:$M$130,10,0))&gt;3),"",VLOOKUP(VLOOKUP($A93,Centrum!$D$3:$M$130,10,0),Centrum!$A$3:$CB$130,N$132,0))</f>
        <v/>
      </c>
      <c r="O93" s="333" t="str">
        <f>IF(OR($A93="",TYPE(VLOOKUP($A93,Centrum!$D$3:$M$130,10,0))&gt;3),"",VLOOKUP(VLOOKUP($A93,Centrum!$D$3:$M$130,10,0),Centrum!$A$3:$CB$130,O$132,0))</f>
        <v/>
      </c>
      <c r="P93" s="333" t="str">
        <f>IF(OR($A93="",TYPE(VLOOKUP($A93,Centrum!$D$3:$M$130,10,0))&gt;3),"",VLOOKUP(VLOOKUP($A93,Centrum!$D$3:$M$130,10,0),Centrum!$A$3:$CB$130,P$132,0))</f>
        <v/>
      </c>
      <c r="Q93" s="333" t="str">
        <f>IF(OR($A93="",TYPE(VLOOKUP($A93,Centrum!$D$3:$M$130,10,0))&gt;3),"",VLOOKUP(VLOOKUP($A93,Centrum!$D$3:$M$130,10,0),Centrum!$A$3:$CB$130,Q$132,0))</f>
        <v/>
      </c>
      <c r="S93" s="333" t="str">
        <f>IF(OR($A93="",TYPE(VLOOKUP($A93,Centrum!$D$3:$M$130,10,0))&gt;3),"",VLOOKUP(VLOOKUP($A93,Centrum!$D$3:$M$130,10,0),Centrum!$A$3:$CB$130,S$132,0))</f>
        <v/>
      </c>
      <c r="T93" s="333" t="str">
        <f>IF(OR($A93="",TYPE(VLOOKUP($A93,Centrum!$D$3:$M$130,10,0))&gt;3),"",VLOOKUP(VLOOKUP($A93,Centrum!$D$3:$M$130,10,0),Centrum!$A$3:$CB$130,T$132,0))</f>
        <v/>
      </c>
      <c r="U93" s="333" t="str">
        <f>IF(OR($A93="",TYPE(VLOOKUP($A93,Centrum!$D$3:$M$130,10,0))&gt;3),"",VLOOKUP(VLOOKUP($A93,Centrum!$D$3:$M$130,10,0),Centrum!$A$3:$CB$130,U$132,0))</f>
        <v/>
      </c>
      <c r="AB93" s="333" t="str">
        <f>IF(OR($A93="",TYPE(VLOOKUP($A93,Centrum!$D$3:$M$130,10,0))&gt;3),"",VLOOKUP(VLOOKUP($A93,Centrum!$D$3:$M$130,10,0),Centrum!$A$3:$CB$130,AB$132,0))</f>
        <v/>
      </c>
      <c r="AC93" s="333" t="str">
        <f>IF(OR($A93="",TYPE(VLOOKUP($A93,Centrum!$D$3:$M$130,10,0))&gt;3),"",VLOOKUP(VLOOKUP($A93,Centrum!$D$3:$M$130,10,0),Centrum!$A$3:$CB$130,AC$132,0))</f>
        <v/>
      </c>
      <c r="AD93" s="333" t="str">
        <f>IF(OR($A93="",TYPE(VLOOKUP($A93,Centrum!$D$3:$M$130,10,0))&gt;3),"",VLOOKUP(VLOOKUP($A93,Centrum!$D$3:$M$130,10,0),Centrum!$A$3:$CB$130,AD$132,0))</f>
        <v/>
      </c>
      <c r="AK93" s="333" t="str">
        <f>IF(OR($A93="",TYPE(VLOOKUP($A93,Centrum!$D$3:$M$130,10,0))&gt;3),"",VLOOKUP(VLOOKUP($A93,Centrum!$D$3:$M$130,10,0),Centrum!$A$3:$CB$130,AK$132,0))</f>
        <v/>
      </c>
      <c r="AL93" s="333" t="str">
        <f>IF(OR($A93="",TYPE(VLOOKUP($A93,Centrum!$D$3:$M$130,10,0))&gt;3),"",VLOOKUP(VLOOKUP($A93,Centrum!$D$3:$M$130,10,0),Centrum!$A$3:$CB$130,AL$132,0))</f>
        <v/>
      </c>
      <c r="AM93" s="333" t="str">
        <f>IF(OR($A93="",TYPE(VLOOKUP($A93,Centrum!$D$3:$M$130,10,0))&gt;3),"",VLOOKUP(VLOOKUP($A93,Centrum!$D$3:$M$130,10,0),Centrum!$A$3:$CB$130,AM$132,0))</f>
        <v/>
      </c>
      <c r="AT93" s="333" t="str">
        <f>IF(OR(OR($A93="",TYPE(VLOOKUP($A93,Centrum!$D$3:$M$130,10,0))&gt;3),$A$1&lt;4),"",VLOOKUP(VLOOKUP($A93,Centrum!$D$3:$M$130,10,0),Centrum!$A$3:$CB$130,AT$132,0))</f>
        <v/>
      </c>
      <c r="AU93" s="333" t="str">
        <f>IF(OR(OR($A93="",TYPE(VLOOKUP($A93,Centrum!$D$3:$M$130,10,0))&gt;3),$A$1&lt;4),"",VLOOKUP(VLOOKUP($A93,Centrum!$D$3:$M$130,10,0),Centrum!$A$3:$CB$130,AU$132,0))</f>
        <v/>
      </c>
      <c r="AV93" s="333" t="str">
        <f>IF(OR(OR($A93="",TYPE(VLOOKUP($A93,Centrum!$D$3:$M$130,10,0))&gt;3),$A$1&lt;4),"",VLOOKUP(VLOOKUP($A93,Centrum!$D$3:$M$130,10,0),Centrum!$A$3:$CB$130,AV$132,0))</f>
        <v/>
      </c>
      <c r="BC93" s="333" t="str">
        <f>IF(OR(OR($A93="",TYPE(VLOOKUP($A93,Centrum!$D$3:$M$130,10,0))&gt;3),$A$1&lt;5),"",VLOOKUP(VLOOKUP($A93,Centrum!$D$3:$M$130,10,0),Centrum!$A$3:$CB$130,BC$132,0))</f>
        <v/>
      </c>
      <c r="BD93" s="333" t="str">
        <f>IF(OR(OR($A93="",TYPE(VLOOKUP($A93,Centrum!$D$3:$M$130,10,0))&gt;3),$A$1&lt;5),"",VLOOKUP(VLOOKUP($A93,Centrum!$D$3:$M$130,10,0),Centrum!$A$3:$CB$130,BD$132,0))</f>
        <v/>
      </c>
      <c r="BE93" s="333" t="str">
        <f>IF(OR(OR($A93="",TYPE(VLOOKUP($A93,Centrum!$D$3:$M$130,10,0))&gt;3),$A$1&lt;5),"",VLOOKUP(VLOOKUP($A93,Centrum!$D$3:$M$130,10,0),Centrum!$A$3:$CB$130,BE$132,0))</f>
        <v/>
      </c>
      <c r="BL93" s="333" t="str">
        <f>IF(OR(OR($A93="",TYPE(VLOOKUP($A93,Centrum!$D$3:$M$130,10,0))&gt;3),$A$1&lt;6),"",VLOOKUP(VLOOKUP($A93,Centrum!$D$3:$M$130,10,0),Centrum!$A$3:$CB$130,BL$132,0))</f>
        <v/>
      </c>
      <c r="BM93" s="333" t="str">
        <f>IF(OR(OR($A93="",TYPE(VLOOKUP($A93,Centrum!$D$3:$M$130,10,0))&gt;3),$A$1&lt;6),"",VLOOKUP(VLOOKUP($A93,Centrum!$D$3:$M$130,10,0),Centrum!$A$3:$CB$130,BM$132,0))</f>
        <v/>
      </c>
      <c r="BN93" s="333" t="str">
        <f>IF(OR(OR($A93="",TYPE(VLOOKUP($A93,Centrum!$D$3:$M$130,10,0))&gt;3),$A$1&lt;6),"",VLOOKUP(VLOOKUP($A93,Centrum!$D$3:$M$130,10,0),Centrum!$A$3:$CB$130,BN$132,0))</f>
        <v/>
      </c>
    </row>
    <row r="94" spans="1:66" x14ac:dyDescent="0.25">
      <c r="A94" s="333" t="str">
        <f>Centrum!A94</f>
        <v/>
      </c>
      <c r="B94" s="439" t="str">
        <f>IF(OR($A94="",TYPE(VLOOKUP($A94,Centrum!$D$3:$M$130,10,0))&gt;3),"",VLOOKUP(VLOOKUP(A94,Centrum!$D$3:$M$130,10,0),Centrum!$A$3:$CB$130,B$132,0))</f>
        <v/>
      </c>
      <c r="C94" s="333" t="str">
        <f>IF(OR($A94="",TYPE(VLOOKUP($A94,Centrum!$D$3:$M$130,10,0))&gt;3),"",VLOOKUP($A94,Centrum!$D$3:$M$130,10,0))</f>
        <v/>
      </c>
      <c r="E94" s="333" t="str">
        <f>IF(OR($A94="",TYPE(VLOOKUP($A94,Centrum!$D$3:$M$130,10,0))&gt;3),"",VLOOKUP(VLOOKUP($A94,Centrum!$D$3:$M$130,10,0),Centrum!$A$3:$CB$130,E$132,0))</f>
        <v/>
      </c>
      <c r="F94" s="333" t="str">
        <f>IF(OR($A94="",TYPE(VLOOKUP($A94,Centrum!$D$3:$M$130,10,0))&gt;3),"",VLOOKUP(VLOOKUP($A94,Centrum!$D$3:$M$130,10,0),Centrum!$A$3:$CB$130,F$132,0))</f>
        <v/>
      </c>
      <c r="G94" s="333" t="str">
        <f>IF(OR($A94="",TYPE(VLOOKUP($A94,Centrum!$D$3:$M$130,10,0))&gt;3),"",VLOOKUP(VLOOKUP($A94,Centrum!$D$3:$M$130,10,0),Centrum!$A$3:$CB$130,G$132,0))</f>
        <v/>
      </c>
      <c r="H94" s="333" t="str">
        <f>IF($A94="","",VLOOKUP(VLOOKUP($A94,Centrum!$D$3:$M$130,10,0),Centrum!$A$3:$CB$130,H$132,0))</f>
        <v/>
      </c>
      <c r="I94" s="333" t="str">
        <f>IF($A94="","",VLOOKUP(VLOOKUP($A94,Centrum!$D$3:$M$130,10,0),Centrum!$A$3:$CB$130,I$132,0))</f>
        <v/>
      </c>
      <c r="J94" s="333" t="str">
        <f>IF(OR($A94="",TYPE(VLOOKUP($A94,Centrum!$D$3:$M$130,10,0))&gt;3),"",VLOOKUP(VLOOKUP($A94,Centrum!$D$3:$M$130,10,0),Centrum!$A$3:$CB$130,J$132,0))</f>
        <v/>
      </c>
      <c r="L94" s="333" t="str">
        <f>IF(OR($A94="",TYPE(VLOOKUP($A94,Centrum!$D$3:$M$130,10,0))&gt;3),"",VLOOKUP(VLOOKUP($A94,Centrum!$D$3:$M$130,10,0),Centrum!$A$3:$CB$130,L$132,0))</f>
        <v/>
      </c>
      <c r="M94" s="333" t="str">
        <f>IF(OR($A94="",TYPE(VLOOKUP($A94,Centrum!$D$3:$M$130,10,0))&gt;3),"",VLOOKUP(VLOOKUP($A94,Centrum!$D$3:$M$130,10,0),Centrum!$A$3:$CB$130,M$132,0))</f>
        <v/>
      </c>
      <c r="N94" s="333" t="str">
        <f>IF(OR($A94="",TYPE(VLOOKUP($A94,Centrum!$D$3:$M$130,10,0))&gt;3),"",VLOOKUP(VLOOKUP($A94,Centrum!$D$3:$M$130,10,0),Centrum!$A$3:$CB$130,N$132,0))</f>
        <v/>
      </c>
      <c r="O94" s="333" t="str">
        <f>IF(OR($A94="",TYPE(VLOOKUP($A94,Centrum!$D$3:$M$130,10,0))&gt;3),"",VLOOKUP(VLOOKUP($A94,Centrum!$D$3:$M$130,10,0),Centrum!$A$3:$CB$130,O$132,0))</f>
        <v/>
      </c>
      <c r="P94" s="333" t="str">
        <f>IF(OR($A94="",TYPE(VLOOKUP($A94,Centrum!$D$3:$M$130,10,0))&gt;3),"",VLOOKUP(VLOOKUP($A94,Centrum!$D$3:$M$130,10,0),Centrum!$A$3:$CB$130,P$132,0))</f>
        <v/>
      </c>
      <c r="Q94" s="333" t="str">
        <f>IF(OR($A94="",TYPE(VLOOKUP($A94,Centrum!$D$3:$M$130,10,0))&gt;3),"",VLOOKUP(VLOOKUP($A94,Centrum!$D$3:$M$130,10,0),Centrum!$A$3:$CB$130,Q$132,0))</f>
        <v/>
      </c>
      <c r="S94" s="333" t="str">
        <f>IF(OR($A94="",TYPE(VLOOKUP($A94,Centrum!$D$3:$M$130,10,0))&gt;3),"",VLOOKUP(VLOOKUP($A94,Centrum!$D$3:$M$130,10,0),Centrum!$A$3:$CB$130,S$132,0))</f>
        <v/>
      </c>
      <c r="T94" s="333" t="str">
        <f>IF(OR($A94="",TYPE(VLOOKUP($A94,Centrum!$D$3:$M$130,10,0))&gt;3),"",VLOOKUP(VLOOKUP($A94,Centrum!$D$3:$M$130,10,0),Centrum!$A$3:$CB$130,T$132,0))</f>
        <v/>
      </c>
      <c r="U94" s="333" t="str">
        <f>IF(OR($A94="",TYPE(VLOOKUP($A94,Centrum!$D$3:$M$130,10,0))&gt;3),"",VLOOKUP(VLOOKUP($A94,Centrum!$D$3:$M$130,10,0),Centrum!$A$3:$CB$130,U$132,0))</f>
        <v/>
      </c>
      <c r="AB94" s="333" t="str">
        <f>IF(OR($A94="",TYPE(VLOOKUP($A94,Centrum!$D$3:$M$130,10,0))&gt;3),"",VLOOKUP(VLOOKUP($A94,Centrum!$D$3:$M$130,10,0),Centrum!$A$3:$CB$130,AB$132,0))</f>
        <v/>
      </c>
      <c r="AC94" s="333" t="str">
        <f>IF(OR($A94="",TYPE(VLOOKUP($A94,Centrum!$D$3:$M$130,10,0))&gt;3),"",VLOOKUP(VLOOKUP($A94,Centrum!$D$3:$M$130,10,0),Centrum!$A$3:$CB$130,AC$132,0))</f>
        <v/>
      </c>
      <c r="AD94" s="333" t="str">
        <f>IF(OR($A94="",TYPE(VLOOKUP($A94,Centrum!$D$3:$M$130,10,0))&gt;3),"",VLOOKUP(VLOOKUP($A94,Centrum!$D$3:$M$130,10,0),Centrum!$A$3:$CB$130,AD$132,0))</f>
        <v/>
      </c>
      <c r="AK94" s="333" t="str">
        <f>IF(OR($A94="",TYPE(VLOOKUP($A94,Centrum!$D$3:$M$130,10,0))&gt;3),"",VLOOKUP(VLOOKUP($A94,Centrum!$D$3:$M$130,10,0),Centrum!$A$3:$CB$130,AK$132,0))</f>
        <v/>
      </c>
      <c r="AL94" s="333" t="str">
        <f>IF(OR($A94="",TYPE(VLOOKUP($A94,Centrum!$D$3:$M$130,10,0))&gt;3),"",VLOOKUP(VLOOKUP($A94,Centrum!$D$3:$M$130,10,0),Centrum!$A$3:$CB$130,AL$132,0))</f>
        <v/>
      </c>
      <c r="AM94" s="333" t="str">
        <f>IF(OR($A94="",TYPE(VLOOKUP($A94,Centrum!$D$3:$M$130,10,0))&gt;3),"",VLOOKUP(VLOOKUP($A94,Centrum!$D$3:$M$130,10,0),Centrum!$A$3:$CB$130,AM$132,0))</f>
        <v/>
      </c>
      <c r="AT94" s="333" t="str">
        <f>IF(OR(OR($A94="",TYPE(VLOOKUP($A94,Centrum!$D$3:$M$130,10,0))&gt;3),$A$1&lt;4),"",VLOOKUP(VLOOKUP($A94,Centrum!$D$3:$M$130,10,0),Centrum!$A$3:$CB$130,AT$132,0))</f>
        <v/>
      </c>
      <c r="AU94" s="333" t="str">
        <f>IF(OR(OR($A94="",TYPE(VLOOKUP($A94,Centrum!$D$3:$M$130,10,0))&gt;3),$A$1&lt;4),"",VLOOKUP(VLOOKUP($A94,Centrum!$D$3:$M$130,10,0),Centrum!$A$3:$CB$130,AU$132,0))</f>
        <v/>
      </c>
      <c r="AV94" s="333" t="str">
        <f>IF(OR(OR($A94="",TYPE(VLOOKUP($A94,Centrum!$D$3:$M$130,10,0))&gt;3),$A$1&lt;4),"",VLOOKUP(VLOOKUP($A94,Centrum!$D$3:$M$130,10,0),Centrum!$A$3:$CB$130,AV$132,0))</f>
        <v/>
      </c>
      <c r="BC94" s="333" t="str">
        <f>IF(OR(OR($A94="",TYPE(VLOOKUP($A94,Centrum!$D$3:$M$130,10,0))&gt;3),$A$1&lt;5),"",VLOOKUP(VLOOKUP($A94,Centrum!$D$3:$M$130,10,0),Centrum!$A$3:$CB$130,BC$132,0))</f>
        <v/>
      </c>
      <c r="BD94" s="333" t="str">
        <f>IF(OR(OR($A94="",TYPE(VLOOKUP($A94,Centrum!$D$3:$M$130,10,0))&gt;3),$A$1&lt;5),"",VLOOKUP(VLOOKUP($A94,Centrum!$D$3:$M$130,10,0),Centrum!$A$3:$CB$130,BD$132,0))</f>
        <v/>
      </c>
      <c r="BE94" s="333" t="str">
        <f>IF(OR(OR($A94="",TYPE(VLOOKUP($A94,Centrum!$D$3:$M$130,10,0))&gt;3),$A$1&lt;5),"",VLOOKUP(VLOOKUP($A94,Centrum!$D$3:$M$130,10,0),Centrum!$A$3:$CB$130,BE$132,0))</f>
        <v/>
      </c>
      <c r="BL94" s="333" t="str">
        <f>IF(OR(OR($A94="",TYPE(VLOOKUP($A94,Centrum!$D$3:$M$130,10,0))&gt;3),$A$1&lt;6),"",VLOOKUP(VLOOKUP($A94,Centrum!$D$3:$M$130,10,0),Centrum!$A$3:$CB$130,BL$132,0))</f>
        <v/>
      </c>
      <c r="BM94" s="333" t="str">
        <f>IF(OR(OR($A94="",TYPE(VLOOKUP($A94,Centrum!$D$3:$M$130,10,0))&gt;3),$A$1&lt;6),"",VLOOKUP(VLOOKUP($A94,Centrum!$D$3:$M$130,10,0),Centrum!$A$3:$CB$130,BM$132,0))</f>
        <v/>
      </c>
      <c r="BN94" s="333" t="str">
        <f>IF(OR(OR($A94="",TYPE(VLOOKUP($A94,Centrum!$D$3:$M$130,10,0))&gt;3),$A$1&lt;6),"",VLOOKUP(VLOOKUP($A94,Centrum!$D$3:$M$130,10,0),Centrum!$A$3:$CB$130,BN$132,0))</f>
        <v/>
      </c>
    </row>
    <row r="95" spans="1:66" x14ac:dyDescent="0.25">
      <c r="A95" s="333" t="str">
        <f>Centrum!A95</f>
        <v/>
      </c>
      <c r="B95" s="439" t="str">
        <f>IF(OR($A95="",TYPE(VLOOKUP($A95,Centrum!$D$3:$M$130,10,0))&gt;3),"",VLOOKUP(VLOOKUP(A95,Centrum!$D$3:$M$130,10,0),Centrum!$A$3:$CB$130,B$132,0))</f>
        <v/>
      </c>
      <c r="C95" s="333" t="str">
        <f>IF(OR($A95="",TYPE(VLOOKUP($A95,Centrum!$D$3:$M$130,10,0))&gt;3),"",VLOOKUP($A95,Centrum!$D$3:$M$130,10,0))</f>
        <v/>
      </c>
      <c r="E95" s="333" t="str">
        <f>IF(OR($A95="",TYPE(VLOOKUP($A95,Centrum!$D$3:$M$130,10,0))&gt;3),"",VLOOKUP(VLOOKUP($A95,Centrum!$D$3:$M$130,10,0),Centrum!$A$3:$CB$130,E$132,0))</f>
        <v/>
      </c>
      <c r="F95" s="333" t="str">
        <f>IF(OR($A95="",TYPE(VLOOKUP($A95,Centrum!$D$3:$M$130,10,0))&gt;3),"",VLOOKUP(VLOOKUP($A95,Centrum!$D$3:$M$130,10,0),Centrum!$A$3:$CB$130,F$132,0))</f>
        <v/>
      </c>
      <c r="G95" s="333" t="str">
        <f>IF(OR($A95="",TYPE(VLOOKUP($A95,Centrum!$D$3:$M$130,10,0))&gt;3),"",VLOOKUP(VLOOKUP($A95,Centrum!$D$3:$M$130,10,0),Centrum!$A$3:$CB$130,G$132,0))</f>
        <v/>
      </c>
      <c r="H95" s="333" t="str">
        <f>IF($A95="","",VLOOKUP(VLOOKUP($A95,Centrum!$D$3:$M$130,10,0),Centrum!$A$3:$CB$130,H$132,0))</f>
        <v/>
      </c>
      <c r="I95" s="333" t="str">
        <f>IF($A95="","",VLOOKUP(VLOOKUP($A95,Centrum!$D$3:$M$130,10,0),Centrum!$A$3:$CB$130,I$132,0))</f>
        <v/>
      </c>
      <c r="J95" s="333" t="str">
        <f>IF(OR($A95="",TYPE(VLOOKUP($A95,Centrum!$D$3:$M$130,10,0))&gt;3),"",VLOOKUP(VLOOKUP($A95,Centrum!$D$3:$M$130,10,0),Centrum!$A$3:$CB$130,J$132,0))</f>
        <v/>
      </c>
      <c r="L95" s="333" t="str">
        <f>IF(OR($A95="",TYPE(VLOOKUP($A95,Centrum!$D$3:$M$130,10,0))&gt;3),"",VLOOKUP(VLOOKUP($A95,Centrum!$D$3:$M$130,10,0),Centrum!$A$3:$CB$130,L$132,0))</f>
        <v/>
      </c>
      <c r="M95" s="333" t="str">
        <f>IF(OR($A95="",TYPE(VLOOKUP($A95,Centrum!$D$3:$M$130,10,0))&gt;3),"",VLOOKUP(VLOOKUP($A95,Centrum!$D$3:$M$130,10,0),Centrum!$A$3:$CB$130,M$132,0))</f>
        <v/>
      </c>
      <c r="N95" s="333" t="str">
        <f>IF(OR($A95="",TYPE(VLOOKUP($A95,Centrum!$D$3:$M$130,10,0))&gt;3),"",VLOOKUP(VLOOKUP($A95,Centrum!$D$3:$M$130,10,0),Centrum!$A$3:$CB$130,N$132,0))</f>
        <v/>
      </c>
      <c r="O95" s="333" t="str">
        <f>IF(OR($A95="",TYPE(VLOOKUP($A95,Centrum!$D$3:$M$130,10,0))&gt;3),"",VLOOKUP(VLOOKUP($A95,Centrum!$D$3:$M$130,10,0),Centrum!$A$3:$CB$130,O$132,0))</f>
        <v/>
      </c>
      <c r="P95" s="333" t="str">
        <f>IF(OR($A95="",TYPE(VLOOKUP($A95,Centrum!$D$3:$M$130,10,0))&gt;3),"",VLOOKUP(VLOOKUP($A95,Centrum!$D$3:$M$130,10,0),Centrum!$A$3:$CB$130,P$132,0))</f>
        <v/>
      </c>
      <c r="Q95" s="333" t="str">
        <f>IF(OR($A95="",TYPE(VLOOKUP($A95,Centrum!$D$3:$M$130,10,0))&gt;3),"",VLOOKUP(VLOOKUP($A95,Centrum!$D$3:$M$130,10,0),Centrum!$A$3:$CB$130,Q$132,0))</f>
        <v/>
      </c>
      <c r="S95" s="333" t="str">
        <f>IF(OR($A95="",TYPE(VLOOKUP($A95,Centrum!$D$3:$M$130,10,0))&gt;3),"",VLOOKUP(VLOOKUP($A95,Centrum!$D$3:$M$130,10,0),Centrum!$A$3:$CB$130,S$132,0))</f>
        <v/>
      </c>
      <c r="T95" s="333" t="str">
        <f>IF(OR($A95="",TYPE(VLOOKUP($A95,Centrum!$D$3:$M$130,10,0))&gt;3),"",VLOOKUP(VLOOKUP($A95,Centrum!$D$3:$M$130,10,0),Centrum!$A$3:$CB$130,T$132,0))</f>
        <v/>
      </c>
      <c r="U95" s="333" t="str">
        <f>IF(OR($A95="",TYPE(VLOOKUP($A95,Centrum!$D$3:$M$130,10,0))&gt;3),"",VLOOKUP(VLOOKUP($A95,Centrum!$D$3:$M$130,10,0),Centrum!$A$3:$CB$130,U$132,0))</f>
        <v/>
      </c>
      <c r="AB95" s="333" t="str">
        <f>IF(OR($A95="",TYPE(VLOOKUP($A95,Centrum!$D$3:$M$130,10,0))&gt;3),"",VLOOKUP(VLOOKUP($A95,Centrum!$D$3:$M$130,10,0),Centrum!$A$3:$CB$130,AB$132,0))</f>
        <v/>
      </c>
      <c r="AC95" s="333" t="str">
        <f>IF(OR($A95="",TYPE(VLOOKUP($A95,Centrum!$D$3:$M$130,10,0))&gt;3),"",VLOOKUP(VLOOKUP($A95,Centrum!$D$3:$M$130,10,0),Centrum!$A$3:$CB$130,AC$132,0))</f>
        <v/>
      </c>
      <c r="AD95" s="333" t="str">
        <f>IF(OR($A95="",TYPE(VLOOKUP($A95,Centrum!$D$3:$M$130,10,0))&gt;3),"",VLOOKUP(VLOOKUP($A95,Centrum!$D$3:$M$130,10,0),Centrum!$A$3:$CB$130,AD$132,0))</f>
        <v/>
      </c>
      <c r="AK95" s="333" t="str">
        <f>IF(OR($A95="",TYPE(VLOOKUP($A95,Centrum!$D$3:$M$130,10,0))&gt;3),"",VLOOKUP(VLOOKUP($A95,Centrum!$D$3:$M$130,10,0),Centrum!$A$3:$CB$130,AK$132,0))</f>
        <v/>
      </c>
      <c r="AL95" s="333" t="str">
        <f>IF(OR($A95="",TYPE(VLOOKUP($A95,Centrum!$D$3:$M$130,10,0))&gt;3),"",VLOOKUP(VLOOKUP($A95,Centrum!$D$3:$M$130,10,0),Centrum!$A$3:$CB$130,AL$132,0))</f>
        <v/>
      </c>
      <c r="AM95" s="333" t="str">
        <f>IF(OR($A95="",TYPE(VLOOKUP($A95,Centrum!$D$3:$M$130,10,0))&gt;3),"",VLOOKUP(VLOOKUP($A95,Centrum!$D$3:$M$130,10,0),Centrum!$A$3:$CB$130,AM$132,0))</f>
        <v/>
      </c>
      <c r="AT95" s="333" t="str">
        <f>IF(OR(OR($A95="",TYPE(VLOOKUP($A95,Centrum!$D$3:$M$130,10,0))&gt;3),$A$1&lt;4),"",VLOOKUP(VLOOKUP($A95,Centrum!$D$3:$M$130,10,0),Centrum!$A$3:$CB$130,AT$132,0))</f>
        <v/>
      </c>
      <c r="AU95" s="333" t="str">
        <f>IF(OR(OR($A95="",TYPE(VLOOKUP($A95,Centrum!$D$3:$M$130,10,0))&gt;3),$A$1&lt;4),"",VLOOKUP(VLOOKUP($A95,Centrum!$D$3:$M$130,10,0),Centrum!$A$3:$CB$130,AU$132,0))</f>
        <v/>
      </c>
      <c r="AV95" s="333" t="str">
        <f>IF(OR(OR($A95="",TYPE(VLOOKUP($A95,Centrum!$D$3:$M$130,10,0))&gt;3),$A$1&lt;4),"",VLOOKUP(VLOOKUP($A95,Centrum!$D$3:$M$130,10,0),Centrum!$A$3:$CB$130,AV$132,0))</f>
        <v/>
      </c>
      <c r="BC95" s="333" t="str">
        <f>IF(OR(OR($A95="",TYPE(VLOOKUP($A95,Centrum!$D$3:$M$130,10,0))&gt;3),$A$1&lt;5),"",VLOOKUP(VLOOKUP($A95,Centrum!$D$3:$M$130,10,0),Centrum!$A$3:$CB$130,BC$132,0))</f>
        <v/>
      </c>
      <c r="BD95" s="333" t="str">
        <f>IF(OR(OR($A95="",TYPE(VLOOKUP($A95,Centrum!$D$3:$M$130,10,0))&gt;3),$A$1&lt;5),"",VLOOKUP(VLOOKUP($A95,Centrum!$D$3:$M$130,10,0),Centrum!$A$3:$CB$130,BD$132,0))</f>
        <v/>
      </c>
      <c r="BE95" s="333" t="str">
        <f>IF(OR(OR($A95="",TYPE(VLOOKUP($A95,Centrum!$D$3:$M$130,10,0))&gt;3),$A$1&lt;5),"",VLOOKUP(VLOOKUP($A95,Centrum!$D$3:$M$130,10,0),Centrum!$A$3:$CB$130,BE$132,0))</f>
        <v/>
      </c>
      <c r="BL95" s="333" t="str">
        <f>IF(OR(OR($A95="",TYPE(VLOOKUP($A95,Centrum!$D$3:$M$130,10,0))&gt;3),$A$1&lt;6),"",VLOOKUP(VLOOKUP($A95,Centrum!$D$3:$M$130,10,0),Centrum!$A$3:$CB$130,BL$132,0))</f>
        <v/>
      </c>
      <c r="BM95" s="333" t="str">
        <f>IF(OR(OR($A95="",TYPE(VLOOKUP($A95,Centrum!$D$3:$M$130,10,0))&gt;3),$A$1&lt;6),"",VLOOKUP(VLOOKUP($A95,Centrum!$D$3:$M$130,10,0),Centrum!$A$3:$CB$130,BM$132,0))</f>
        <v/>
      </c>
      <c r="BN95" s="333" t="str">
        <f>IF(OR(OR($A95="",TYPE(VLOOKUP($A95,Centrum!$D$3:$M$130,10,0))&gt;3),$A$1&lt;6),"",VLOOKUP(VLOOKUP($A95,Centrum!$D$3:$M$130,10,0),Centrum!$A$3:$CB$130,BN$132,0))</f>
        <v/>
      </c>
    </row>
    <row r="96" spans="1:66" x14ac:dyDescent="0.25">
      <c r="A96" s="333" t="str">
        <f>Centrum!A96</f>
        <v/>
      </c>
      <c r="B96" s="439" t="str">
        <f>IF(OR($A96="",TYPE(VLOOKUP($A96,Centrum!$D$3:$M$130,10,0))&gt;3),"",VLOOKUP(VLOOKUP(A96,Centrum!$D$3:$M$130,10,0),Centrum!$A$3:$CB$130,B$132,0))</f>
        <v/>
      </c>
      <c r="C96" s="333" t="str">
        <f>IF(OR($A96="",TYPE(VLOOKUP($A96,Centrum!$D$3:$M$130,10,0))&gt;3),"",VLOOKUP($A96,Centrum!$D$3:$M$130,10,0))</f>
        <v/>
      </c>
      <c r="E96" s="333" t="str">
        <f>IF(OR($A96="",TYPE(VLOOKUP($A96,Centrum!$D$3:$M$130,10,0))&gt;3),"",VLOOKUP(VLOOKUP($A96,Centrum!$D$3:$M$130,10,0),Centrum!$A$3:$CB$130,E$132,0))</f>
        <v/>
      </c>
      <c r="F96" s="333" t="str">
        <f>IF(OR($A96="",TYPE(VLOOKUP($A96,Centrum!$D$3:$M$130,10,0))&gt;3),"",VLOOKUP(VLOOKUP($A96,Centrum!$D$3:$M$130,10,0),Centrum!$A$3:$CB$130,F$132,0))</f>
        <v/>
      </c>
      <c r="G96" s="333" t="str">
        <f>IF(OR($A96="",TYPE(VLOOKUP($A96,Centrum!$D$3:$M$130,10,0))&gt;3),"",VLOOKUP(VLOOKUP($A96,Centrum!$D$3:$M$130,10,0),Centrum!$A$3:$CB$130,G$132,0))</f>
        <v/>
      </c>
      <c r="H96" s="333" t="str">
        <f>IF($A96="","",VLOOKUP(VLOOKUP($A96,Centrum!$D$3:$M$130,10,0),Centrum!$A$3:$CB$130,H$132,0))</f>
        <v/>
      </c>
      <c r="I96" s="333" t="str">
        <f>IF($A96="","",VLOOKUP(VLOOKUP($A96,Centrum!$D$3:$M$130,10,0),Centrum!$A$3:$CB$130,I$132,0))</f>
        <v/>
      </c>
      <c r="J96" s="333" t="str">
        <f>IF(OR($A96="",TYPE(VLOOKUP($A96,Centrum!$D$3:$M$130,10,0))&gt;3),"",VLOOKUP(VLOOKUP($A96,Centrum!$D$3:$M$130,10,0),Centrum!$A$3:$CB$130,J$132,0))</f>
        <v/>
      </c>
      <c r="L96" s="333" t="str">
        <f>IF(OR($A96="",TYPE(VLOOKUP($A96,Centrum!$D$3:$M$130,10,0))&gt;3),"",VLOOKUP(VLOOKUP($A96,Centrum!$D$3:$M$130,10,0),Centrum!$A$3:$CB$130,L$132,0))</f>
        <v/>
      </c>
      <c r="M96" s="333" t="str">
        <f>IF(OR($A96="",TYPE(VLOOKUP($A96,Centrum!$D$3:$M$130,10,0))&gt;3),"",VLOOKUP(VLOOKUP($A96,Centrum!$D$3:$M$130,10,0),Centrum!$A$3:$CB$130,M$132,0))</f>
        <v/>
      </c>
      <c r="N96" s="333" t="str">
        <f>IF(OR($A96="",TYPE(VLOOKUP($A96,Centrum!$D$3:$M$130,10,0))&gt;3),"",VLOOKUP(VLOOKUP($A96,Centrum!$D$3:$M$130,10,0),Centrum!$A$3:$CB$130,N$132,0))</f>
        <v/>
      </c>
      <c r="O96" s="333" t="str">
        <f>IF(OR($A96="",TYPE(VLOOKUP($A96,Centrum!$D$3:$M$130,10,0))&gt;3),"",VLOOKUP(VLOOKUP($A96,Centrum!$D$3:$M$130,10,0),Centrum!$A$3:$CB$130,O$132,0))</f>
        <v/>
      </c>
      <c r="P96" s="333" t="str">
        <f>IF(OR($A96="",TYPE(VLOOKUP($A96,Centrum!$D$3:$M$130,10,0))&gt;3),"",VLOOKUP(VLOOKUP($A96,Centrum!$D$3:$M$130,10,0),Centrum!$A$3:$CB$130,P$132,0))</f>
        <v/>
      </c>
      <c r="Q96" s="333" t="str">
        <f>IF(OR($A96="",TYPE(VLOOKUP($A96,Centrum!$D$3:$M$130,10,0))&gt;3),"",VLOOKUP(VLOOKUP($A96,Centrum!$D$3:$M$130,10,0),Centrum!$A$3:$CB$130,Q$132,0))</f>
        <v/>
      </c>
      <c r="S96" s="333" t="str">
        <f>IF(OR($A96="",TYPE(VLOOKUP($A96,Centrum!$D$3:$M$130,10,0))&gt;3),"",VLOOKUP(VLOOKUP($A96,Centrum!$D$3:$M$130,10,0),Centrum!$A$3:$CB$130,S$132,0))</f>
        <v/>
      </c>
      <c r="T96" s="333" t="str">
        <f>IF(OR($A96="",TYPE(VLOOKUP($A96,Centrum!$D$3:$M$130,10,0))&gt;3),"",VLOOKUP(VLOOKUP($A96,Centrum!$D$3:$M$130,10,0),Centrum!$A$3:$CB$130,T$132,0))</f>
        <v/>
      </c>
      <c r="U96" s="333" t="str">
        <f>IF(OR($A96="",TYPE(VLOOKUP($A96,Centrum!$D$3:$M$130,10,0))&gt;3),"",VLOOKUP(VLOOKUP($A96,Centrum!$D$3:$M$130,10,0),Centrum!$A$3:$CB$130,U$132,0))</f>
        <v/>
      </c>
      <c r="AB96" s="333" t="str">
        <f>IF(OR($A96="",TYPE(VLOOKUP($A96,Centrum!$D$3:$M$130,10,0))&gt;3),"",VLOOKUP(VLOOKUP($A96,Centrum!$D$3:$M$130,10,0),Centrum!$A$3:$CB$130,AB$132,0))</f>
        <v/>
      </c>
      <c r="AC96" s="333" t="str">
        <f>IF(OR($A96="",TYPE(VLOOKUP($A96,Centrum!$D$3:$M$130,10,0))&gt;3),"",VLOOKUP(VLOOKUP($A96,Centrum!$D$3:$M$130,10,0),Centrum!$A$3:$CB$130,AC$132,0))</f>
        <v/>
      </c>
      <c r="AD96" s="333" t="str">
        <f>IF(OR($A96="",TYPE(VLOOKUP($A96,Centrum!$D$3:$M$130,10,0))&gt;3),"",VLOOKUP(VLOOKUP($A96,Centrum!$D$3:$M$130,10,0),Centrum!$A$3:$CB$130,AD$132,0))</f>
        <v/>
      </c>
      <c r="AK96" s="333" t="str">
        <f>IF(OR($A96="",TYPE(VLOOKUP($A96,Centrum!$D$3:$M$130,10,0))&gt;3),"",VLOOKUP(VLOOKUP($A96,Centrum!$D$3:$M$130,10,0),Centrum!$A$3:$CB$130,AK$132,0))</f>
        <v/>
      </c>
      <c r="AL96" s="333" t="str">
        <f>IF(OR($A96="",TYPE(VLOOKUP($A96,Centrum!$D$3:$M$130,10,0))&gt;3),"",VLOOKUP(VLOOKUP($A96,Centrum!$D$3:$M$130,10,0),Centrum!$A$3:$CB$130,AL$132,0))</f>
        <v/>
      </c>
      <c r="AM96" s="333" t="str">
        <f>IF(OR($A96="",TYPE(VLOOKUP($A96,Centrum!$D$3:$M$130,10,0))&gt;3),"",VLOOKUP(VLOOKUP($A96,Centrum!$D$3:$M$130,10,0),Centrum!$A$3:$CB$130,AM$132,0))</f>
        <v/>
      </c>
      <c r="AT96" s="333" t="str">
        <f>IF(OR(OR($A96="",TYPE(VLOOKUP($A96,Centrum!$D$3:$M$130,10,0))&gt;3),$A$1&lt;4),"",VLOOKUP(VLOOKUP($A96,Centrum!$D$3:$M$130,10,0),Centrum!$A$3:$CB$130,AT$132,0))</f>
        <v/>
      </c>
      <c r="AU96" s="333" t="str">
        <f>IF(OR(OR($A96="",TYPE(VLOOKUP($A96,Centrum!$D$3:$M$130,10,0))&gt;3),$A$1&lt;4),"",VLOOKUP(VLOOKUP($A96,Centrum!$D$3:$M$130,10,0),Centrum!$A$3:$CB$130,AU$132,0))</f>
        <v/>
      </c>
      <c r="AV96" s="333" t="str">
        <f>IF(OR(OR($A96="",TYPE(VLOOKUP($A96,Centrum!$D$3:$M$130,10,0))&gt;3),$A$1&lt;4),"",VLOOKUP(VLOOKUP($A96,Centrum!$D$3:$M$130,10,0),Centrum!$A$3:$CB$130,AV$132,0))</f>
        <v/>
      </c>
      <c r="BC96" s="333" t="str">
        <f>IF(OR(OR($A96="",TYPE(VLOOKUP($A96,Centrum!$D$3:$M$130,10,0))&gt;3),$A$1&lt;5),"",VLOOKUP(VLOOKUP($A96,Centrum!$D$3:$M$130,10,0),Centrum!$A$3:$CB$130,BC$132,0))</f>
        <v/>
      </c>
      <c r="BD96" s="333" t="str">
        <f>IF(OR(OR($A96="",TYPE(VLOOKUP($A96,Centrum!$D$3:$M$130,10,0))&gt;3),$A$1&lt;5),"",VLOOKUP(VLOOKUP($A96,Centrum!$D$3:$M$130,10,0),Centrum!$A$3:$CB$130,BD$132,0))</f>
        <v/>
      </c>
      <c r="BE96" s="333" t="str">
        <f>IF(OR(OR($A96="",TYPE(VLOOKUP($A96,Centrum!$D$3:$M$130,10,0))&gt;3),$A$1&lt;5),"",VLOOKUP(VLOOKUP($A96,Centrum!$D$3:$M$130,10,0),Centrum!$A$3:$CB$130,BE$132,0))</f>
        <v/>
      </c>
      <c r="BL96" s="333" t="str">
        <f>IF(OR(OR($A96="",TYPE(VLOOKUP($A96,Centrum!$D$3:$M$130,10,0))&gt;3),$A$1&lt;6),"",VLOOKUP(VLOOKUP($A96,Centrum!$D$3:$M$130,10,0),Centrum!$A$3:$CB$130,BL$132,0))</f>
        <v/>
      </c>
      <c r="BM96" s="333" t="str">
        <f>IF(OR(OR($A96="",TYPE(VLOOKUP($A96,Centrum!$D$3:$M$130,10,0))&gt;3),$A$1&lt;6),"",VLOOKUP(VLOOKUP($A96,Centrum!$D$3:$M$130,10,0),Centrum!$A$3:$CB$130,BM$132,0))</f>
        <v/>
      </c>
      <c r="BN96" s="333" t="str">
        <f>IF(OR(OR($A96="",TYPE(VLOOKUP($A96,Centrum!$D$3:$M$130,10,0))&gt;3),$A$1&lt;6),"",VLOOKUP(VLOOKUP($A96,Centrum!$D$3:$M$130,10,0),Centrum!$A$3:$CB$130,BN$132,0))</f>
        <v/>
      </c>
    </row>
    <row r="97" spans="1:66" x14ac:dyDescent="0.25">
      <c r="A97" s="333" t="str">
        <f>Centrum!A97</f>
        <v/>
      </c>
      <c r="B97" s="439" t="str">
        <f>IF(OR($A97="",TYPE(VLOOKUP($A97,Centrum!$D$3:$M$130,10,0))&gt;3),"",VLOOKUP(VLOOKUP(A97,Centrum!$D$3:$M$130,10,0),Centrum!$A$3:$CB$130,B$132,0))</f>
        <v/>
      </c>
      <c r="C97" s="333" t="str">
        <f>IF(OR($A97="",TYPE(VLOOKUP($A97,Centrum!$D$3:$M$130,10,0))&gt;3),"",VLOOKUP($A97,Centrum!$D$3:$M$130,10,0))</f>
        <v/>
      </c>
      <c r="E97" s="333" t="str">
        <f>IF(OR($A97="",TYPE(VLOOKUP($A97,Centrum!$D$3:$M$130,10,0))&gt;3),"",VLOOKUP(VLOOKUP($A97,Centrum!$D$3:$M$130,10,0),Centrum!$A$3:$CB$130,E$132,0))</f>
        <v/>
      </c>
      <c r="F97" s="333" t="str">
        <f>IF(OR($A97="",TYPE(VLOOKUP($A97,Centrum!$D$3:$M$130,10,0))&gt;3),"",VLOOKUP(VLOOKUP($A97,Centrum!$D$3:$M$130,10,0),Centrum!$A$3:$CB$130,F$132,0))</f>
        <v/>
      </c>
      <c r="G97" s="333" t="str">
        <f>IF(OR($A97="",TYPE(VLOOKUP($A97,Centrum!$D$3:$M$130,10,0))&gt;3),"",VLOOKUP(VLOOKUP($A97,Centrum!$D$3:$M$130,10,0),Centrum!$A$3:$CB$130,G$132,0))</f>
        <v/>
      </c>
      <c r="H97" s="333" t="str">
        <f>IF($A97="","",VLOOKUP(VLOOKUP($A97,Centrum!$D$3:$M$130,10,0),Centrum!$A$3:$CB$130,H$132,0))</f>
        <v/>
      </c>
      <c r="I97" s="333" t="str">
        <f>IF($A97="","",VLOOKUP(VLOOKUP($A97,Centrum!$D$3:$M$130,10,0),Centrum!$A$3:$CB$130,I$132,0))</f>
        <v/>
      </c>
      <c r="J97" s="333" t="str">
        <f>IF(OR($A97="",TYPE(VLOOKUP($A97,Centrum!$D$3:$M$130,10,0))&gt;3),"",VLOOKUP(VLOOKUP($A97,Centrum!$D$3:$M$130,10,0),Centrum!$A$3:$CB$130,J$132,0))</f>
        <v/>
      </c>
      <c r="L97" s="333" t="str">
        <f>IF(OR($A97="",TYPE(VLOOKUP($A97,Centrum!$D$3:$M$130,10,0))&gt;3),"",VLOOKUP(VLOOKUP($A97,Centrum!$D$3:$M$130,10,0),Centrum!$A$3:$CB$130,L$132,0))</f>
        <v/>
      </c>
      <c r="M97" s="333" t="str">
        <f>IF(OR($A97="",TYPE(VLOOKUP($A97,Centrum!$D$3:$M$130,10,0))&gt;3),"",VLOOKUP(VLOOKUP($A97,Centrum!$D$3:$M$130,10,0),Centrum!$A$3:$CB$130,M$132,0))</f>
        <v/>
      </c>
      <c r="N97" s="333" t="str">
        <f>IF(OR($A97="",TYPE(VLOOKUP($A97,Centrum!$D$3:$M$130,10,0))&gt;3),"",VLOOKUP(VLOOKUP($A97,Centrum!$D$3:$M$130,10,0),Centrum!$A$3:$CB$130,N$132,0))</f>
        <v/>
      </c>
      <c r="O97" s="333" t="str">
        <f>IF(OR($A97="",TYPE(VLOOKUP($A97,Centrum!$D$3:$M$130,10,0))&gt;3),"",VLOOKUP(VLOOKUP($A97,Centrum!$D$3:$M$130,10,0),Centrum!$A$3:$CB$130,O$132,0))</f>
        <v/>
      </c>
      <c r="P97" s="333" t="str">
        <f>IF(OR($A97="",TYPE(VLOOKUP($A97,Centrum!$D$3:$M$130,10,0))&gt;3),"",VLOOKUP(VLOOKUP($A97,Centrum!$D$3:$M$130,10,0),Centrum!$A$3:$CB$130,P$132,0))</f>
        <v/>
      </c>
      <c r="Q97" s="333" t="str">
        <f>IF(OR($A97="",TYPE(VLOOKUP($A97,Centrum!$D$3:$M$130,10,0))&gt;3),"",VLOOKUP(VLOOKUP($A97,Centrum!$D$3:$M$130,10,0),Centrum!$A$3:$CB$130,Q$132,0))</f>
        <v/>
      </c>
      <c r="S97" s="333" t="str">
        <f>IF(OR($A97="",TYPE(VLOOKUP($A97,Centrum!$D$3:$M$130,10,0))&gt;3),"",VLOOKUP(VLOOKUP($A97,Centrum!$D$3:$M$130,10,0),Centrum!$A$3:$CB$130,S$132,0))</f>
        <v/>
      </c>
      <c r="T97" s="333" t="str">
        <f>IF(OR($A97="",TYPE(VLOOKUP($A97,Centrum!$D$3:$M$130,10,0))&gt;3),"",VLOOKUP(VLOOKUP($A97,Centrum!$D$3:$M$130,10,0),Centrum!$A$3:$CB$130,T$132,0))</f>
        <v/>
      </c>
      <c r="U97" s="333" t="str">
        <f>IF(OR($A97="",TYPE(VLOOKUP($A97,Centrum!$D$3:$M$130,10,0))&gt;3),"",VLOOKUP(VLOOKUP($A97,Centrum!$D$3:$M$130,10,0),Centrum!$A$3:$CB$130,U$132,0))</f>
        <v/>
      </c>
      <c r="AB97" s="333" t="str">
        <f>IF(OR($A97="",TYPE(VLOOKUP($A97,Centrum!$D$3:$M$130,10,0))&gt;3),"",VLOOKUP(VLOOKUP($A97,Centrum!$D$3:$M$130,10,0),Centrum!$A$3:$CB$130,AB$132,0))</f>
        <v/>
      </c>
      <c r="AC97" s="333" t="str">
        <f>IF(OR($A97="",TYPE(VLOOKUP($A97,Centrum!$D$3:$M$130,10,0))&gt;3),"",VLOOKUP(VLOOKUP($A97,Centrum!$D$3:$M$130,10,0),Centrum!$A$3:$CB$130,AC$132,0))</f>
        <v/>
      </c>
      <c r="AD97" s="333" t="str">
        <f>IF(OR($A97="",TYPE(VLOOKUP($A97,Centrum!$D$3:$M$130,10,0))&gt;3),"",VLOOKUP(VLOOKUP($A97,Centrum!$D$3:$M$130,10,0),Centrum!$A$3:$CB$130,AD$132,0))</f>
        <v/>
      </c>
      <c r="AK97" s="333" t="str">
        <f>IF(OR($A97="",TYPE(VLOOKUP($A97,Centrum!$D$3:$M$130,10,0))&gt;3),"",VLOOKUP(VLOOKUP($A97,Centrum!$D$3:$M$130,10,0),Centrum!$A$3:$CB$130,AK$132,0))</f>
        <v/>
      </c>
      <c r="AL97" s="333" t="str">
        <f>IF(OR($A97="",TYPE(VLOOKUP($A97,Centrum!$D$3:$M$130,10,0))&gt;3),"",VLOOKUP(VLOOKUP($A97,Centrum!$D$3:$M$130,10,0),Centrum!$A$3:$CB$130,AL$132,0))</f>
        <v/>
      </c>
      <c r="AM97" s="333" t="str">
        <f>IF(OR($A97="",TYPE(VLOOKUP($A97,Centrum!$D$3:$M$130,10,0))&gt;3),"",VLOOKUP(VLOOKUP($A97,Centrum!$D$3:$M$130,10,0),Centrum!$A$3:$CB$130,AM$132,0))</f>
        <v/>
      </c>
      <c r="AT97" s="333" t="str">
        <f>IF(OR(OR($A97="",TYPE(VLOOKUP($A97,Centrum!$D$3:$M$130,10,0))&gt;3),$A$1&lt;4),"",VLOOKUP(VLOOKUP($A97,Centrum!$D$3:$M$130,10,0),Centrum!$A$3:$CB$130,AT$132,0))</f>
        <v/>
      </c>
      <c r="AU97" s="333" t="str">
        <f>IF(OR(OR($A97="",TYPE(VLOOKUP($A97,Centrum!$D$3:$M$130,10,0))&gt;3),$A$1&lt;4),"",VLOOKUP(VLOOKUP($A97,Centrum!$D$3:$M$130,10,0),Centrum!$A$3:$CB$130,AU$132,0))</f>
        <v/>
      </c>
      <c r="AV97" s="333" t="str">
        <f>IF(OR(OR($A97="",TYPE(VLOOKUP($A97,Centrum!$D$3:$M$130,10,0))&gt;3),$A$1&lt;4),"",VLOOKUP(VLOOKUP($A97,Centrum!$D$3:$M$130,10,0),Centrum!$A$3:$CB$130,AV$132,0))</f>
        <v/>
      </c>
      <c r="BC97" s="333" t="str">
        <f>IF(OR(OR($A97="",TYPE(VLOOKUP($A97,Centrum!$D$3:$M$130,10,0))&gt;3),$A$1&lt;5),"",VLOOKUP(VLOOKUP($A97,Centrum!$D$3:$M$130,10,0),Centrum!$A$3:$CB$130,BC$132,0))</f>
        <v/>
      </c>
      <c r="BD97" s="333" t="str">
        <f>IF(OR(OR($A97="",TYPE(VLOOKUP($A97,Centrum!$D$3:$M$130,10,0))&gt;3),$A$1&lt;5),"",VLOOKUP(VLOOKUP($A97,Centrum!$D$3:$M$130,10,0),Centrum!$A$3:$CB$130,BD$132,0))</f>
        <v/>
      </c>
      <c r="BE97" s="333" t="str">
        <f>IF(OR(OR($A97="",TYPE(VLOOKUP($A97,Centrum!$D$3:$M$130,10,0))&gt;3),$A$1&lt;5),"",VLOOKUP(VLOOKUP($A97,Centrum!$D$3:$M$130,10,0),Centrum!$A$3:$CB$130,BE$132,0))</f>
        <v/>
      </c>
      <c r="BL97" s="333" t="str">
        <f>IF(OR(OR($A97="",TYPE(VLOOKUP($A97,Centrum!$D$3:$M$130,10,0))&gt;3),$A$1&lt;6),"",VLOOKUP(VLOOKUP($A97,Centrum!$D$3:$M$130,10,0),Centrum!$A$3:$CB$130,BL$132,0))</f>
        <v/>
      </c>
      <c r="BM97" s="333" t="str">
        <f>IF(OR(OR($A97="",TYPE(VLOOKUP($A97,Centrum!$D$3:$M$130,10,0))&gt;3),$A$1&lt;6),"",VLOOKUP(VLOOKUP($A97,Centrum!$D$3:$M$130,10,0),Centrum!$A$3:$CB$130,BM$132,0))</f>
        <v/>
      </c>
      <c r="BN97" s="333" t="str">
        <f>IF(OR(OR($A97="",TYPE(VLOOKUP($A97,Centrum!$D$3:$M$130,10,0))&gt;3),$A$1&lt;6),"",VLOOKUP(VLOOKUP($A97,Centrum!$D$3:$M$130,10,0),Centrum!$A$3:$CB$130,BN$132,0))</f>
        <v/>
      </c>
    </row>
    <row r="98" spans="1:66" x14ac:dyDescent="0.25">
      <c r="A98" s="333" t="str">
        <f>Centrum!A98</f>
        <v/>
      </c>
      <c r="B98" s="439" t="str">
        <f>IF(OR($A98="",TYPE(VLOOKUP($A98,Centrum!$D$3:$M$130,10,0))&gt;3),"",VLOOKUP(VLOOKUP(A98,Centrum!$D$3:$M$130,10,0),Centrum!$A$3:$CB$130,B$132,0))</f>
        <v/>
      </c>
      <c r="C98" s="333" t="str">
        <f>IF(OR($A98="",TYPE(VLOOKUP($A98,Centrum!$D$3:$M$130,10,0))&gt;3),"",VLOOKUP($A98,Centrum!$D$3:$M$130,10,0))</f>
        <v/>
      </c>
      <c r="E98" s="333" t="str">
        <f>IF(OR($A98="",TYPE(VLOOKUP($A98,Centrum!$D$3:$M$130,10,0))&gt;3),"",VLOOKUP(VLOOKUP($A98,Centrum!$D$3:$M$130,10,0),Centrum!$A$3:$CB$130,E$132,0))</f>
        <v/>
      </c>
      <c r="F98" s="333" t="str">
        <f>IF(OR($A98="",TYPE(VLOOKUP($A98,Centrum!$D$3:$M$130,10,0))&gt;3),"",VLOOKUP(VLOOKUP($A98,Centrum!$D$3:$M$130,10,0),Centrum!$A$3:$CB$130,F$132,0))</f>
        <v/>
      </c>
      <c r="G98" s="333" t="str">
        <f>IF(OR($A98="",TYPE(VLOOKUP($A98,Centrum!$D$3:$M$130,10,0))&gt;3),"",VLOOKUP(VLOOKUP($A98,Centrum!$D$3:$M$130,10,0),Centrum!$A$3:$CB$130,G$132,0))</f>
        <v/>
      </c>
      <c r="H98" s="333" t="str">
        <f>IF($A98="","",VLOOKUP(VLOOKUP($A98,Centrum!$D$3:$M$130,10,0),Centrum!$A$3:$CB$130,H$132,0))</f>
        <v/>
      </c>
      <c r="I98" s="333" t="str">
        <f>IF($A98="","",VLOOKUP(VLOOKUP($A98,Centrum!$D$3:$M$130,10,0),Centrum!$A$3:$CB$130,I$132,0))</f>
        <v/>
      </c>
      <c r="J98" s="333" t="str">
        <f>IF(OR($A98="",TYPE(VLOOKUP($A98,Centrum!$D$3:$M$130,10,0))&gt;3),"",VLOOKUP(VLOOKUP($A98,Centrum!$D$3:$M$130,10,0),Centrum!$A$3:$CB$130,J$132,0))</f>
        <v/>
      </c>
      <c r="L98" s="333" t="str">
        <f>IF(OR($A98="",TYPE(VLOOKUP($A98,Centrum!$D$3:$M$130,10,0))&gt;3),"",VLOOKUP(VLOOKUP($A98,Centrum!$D$3:$M$130,10,0),Centrum!$A$3:$CB$130,L$132,0))</f>
        <v/>
      </c>
      <c r="M98" s="333" t="str">
        <f>IF(OR($A98="",TYPE(VLOOKUP($A98,Centrum!$D$3:$M$130,10,0))&gt;3),"",VLOOKUP(VLOOKUP($A98,Centrum!$D$3:$M$130,10,0),Centrum!$A$3:$CB$130,M$132,0))</f>
        <v/>
      </c>
      <c r="N98" s="333" t="str">
        <f>IF(OR($A98="",TYPE(VLOOKUP($A98,Centrum!$D$3:$M$130,10,0))&gt;3),"",VLOOKUP(VLOOKUP($A98,Centrum!$D$3:$M$130,10,0),Centrum!$A$3:$CB$130,N$132,0))</f>
        <v/>
      </c>
      <c r="O98" s="333" t="str">
        <f>IF(OR($A98="",TYPE(VLOOKUP($A98,Centrum!$D$3:$M$130,10,0))&gt;3),"",VLOOKUP(VLOOKUP($A98,Centrum!$D$3:$M$130,10,0),Centrum!$A$3:$CB$130,O$132,0))</f>
        <v/>
      </c>
      <c r="P98" s="333" t="str">
        <f>IF(OR($A98="",TYPE(VLOOKUP($A98,Centrum!$D$3:$M$130,10,0))&gt;3),"",VLOOKUP(VLOOKUP($A98,Centrum!$D$3:$M$130,10,0),Centrum!$A$3:$CB$130,P$132,0))</f>
        <v/>
      </c>
      <c r="Q98" s="333" t="str">
        <f>IF(OR($A98="",TYPE(VLOOKUP($A98,Centrum!$D$3:$M$130,10,0))&gt;3),"",VLOOKUP(VLOOKUP($A98,Centrum!$D$3:$M$130,10,0),Centrum!$A$3:$CB$130,Q$132,0))</f>
        <v/>
      </c>
      <c r="S98" s="333" t="str">
        <f>IF(OR($A98="",TYPE(VLOOKUP($A98,Centrum!$D$3:$M$130,10,0))&gt;3),"",VLOOKUP(VLOOKUP($A98,Centrum!$D$3:$M$130,10,0),Centrum!$A$3:$CB$130,S$132,0))</f>
        <v/>
      </c>
      <c r="T98" s="333" t="str">
        <f>IF(OR($A98="",TYPE(VLOOKUP($A98,Centrum!$D$3:$M$130,10,0))&gt;3),"",VLOOKUP(VLOOKUP($A98,Centrum!$D$3:$M$130,10,0),Centrum!$A$3:$CB$130,T$132,0))</f>
        <v/>
      </c>
      <c r="U98" s="333" t="str">
        <f>IF(OR($A98="",TYPE(VLOOKUP($A98,Centrum!$D$3:$M$130,10,0))&gt;3),"",VLOOKUP(VLOOKUP($A98,Centrum!$D$3:$M$130,10,0),Centrum!$A$3:$CB$130,U$132,0))</f>
        <v/>
      </c>
      <c r="AB98" s="333" t="str">
        <f>IF(OR($A98="",TYPE(VLOOKUP($A98,Centrum!$D$3:$M$130,10,0))&gt;3),"",VLOOKUP(VLOOKUP($A98,Centrum!$D$3:$M$130,10,0),Centrum!$A$3:$CB$130,AB$132,0))</f>
        <v/>
      </c>
      <c r="AC98" s="333" t="str">
        <f>IF(OR($A98="",TYPE(VLOOKUP($A98,Centrum!$D$3:$M$130,10,0))&gt;3),"",VLOOKUP(VLOOKUP($A98,Centrum!$D$3:$M$130,10,0),Centrum!$A$3:$CB$130,AC$132,0))</f>
        <v/>
      </c>
      <c r="AD98" s="333" t="str">
        <f>IF(OR($A98="",TYPE(VLOOKUP($A98,Centrum!$D$3:$M$130,10,0))&gt;3),"",VLOOKUP(VLOOKUP($A98,Centrum!$D$3:$M$130,10,0),Centrum!$A$3:$CB$130,AD$132,0))</f>
        <v/>
      </c>
      <c r="AK98" s="333" t="str">
        <f>IF(OR($A98="",TYPE(VLOOKUP($A98,Centrum!$D$3:$M$130,10,0))&gt;3),"",VLOOKUP(VLOOKUP($A98,Centrum!$D$3:$M$130,10,0),Centrum!$A$3:$CB$130,AK$132,0))</f>
        <v/>
      </c>
      <c r="AL98" s="333" t="str">
        <f>IF(OR($A98="",TYPE(VLOOKUP($A98,Centrum!$D$3:$M$130,10,0))&gt;3),"",VLOOKUP(VLOOKUP($A98,Centrum!$D$3:$M$130,10,0),Centrum!$A$3:$CB$130,AL$132,0))</f>
        <v/>
      </c>
      <c r="AM98" s="333" t="str">
        <f>IF(OR($A98="",TYPE(VLOOKUP($A98,Centrum!$D$3:$M$130,10,0))&gt;3),"",VLOOKUP(VLOOKUP($A98,Centrum!$D$3:$M$130,10,0),Centrum!$A$3:$CB$130,AM$132,0))</f>
        <v/>
      </c>
      <c r="AT98" s="333" t="str">
        <f>IF(OR(OR($A98="",TYPE(VLOOKUP($A98,Centrum!$D$3:$M$130,10,0))&gt;3),$A$1&lt;4),"",VLOOKUP(VLOOKUP($A98,Centrum!$D$3:$M$130,10,0),Centrum!$A$3:$CB$130,AT$132,0))</f>
        <v/>
      </c>
      <c r="AU98" s="333" t="str">
        <f>IF(OR(OR($A98="",TYPE(VLOOKUP($A98,Centrum!$D$3:$M$130,10,0))&gt;3),$A$1&lt;4),"",VLOOKUP(VLOOKUP($A98,Centrum!$D$3:$M$130,10,0),Centrum!$A$3:$CB$130,AU$132,0))</f>
        <v/>
      </c>
      <c r="AV98" s="333" t="str">
        <f>IF(OR(OR($A98="",TYPE(VLOOKUP($A98,Centrum!$D$3:$M$130,10,0))&gt;3),$A$1&lt;4),"",VLOOKUP(VLOOKUP($A98,Centrum!$D$3:$M$130,10,0),Centrum!$A$3:$CB$130,AV$132,0))</f>
        <v/>
      </c>
      <c r="BC98" s="333" t="str">
        <f>IF(OR(OR($A98="",TYPE(VLOOKUP($A98,Centrum!$D$3:$M$130,10,0))&gt;3),$A$1&lt;5),"",VLOOKUP(VLOOKUP($A98,Centrum!$D$3:$M$130,10,0),Centrum!$A$3:$CB$130,BC$132,0))</f>
        <v/>
      </c>
      <c r="BD98" s="333" t="str">
        <f>IF(OR(OR($A98="",TYPE(VLOOKUP($A98,Centrum!$D$3:$M$130,10,0))&gt;3),$A$1&lt;5),"",VLOOKUP(VLOOKUP($A98,Centrum!$D$3:$M$130,10,0),Centrum!$A$3:$CB$130,BD$132,0))</f>
        <v/>
      </c>
      <c r="BE98" s="333" t="str">
        <f>IF(OR(OR($A98="",TYPE(VLOOKUP($A98,Centrum!$D$3:$M$130,10,0))&gt;3),$A$1&lt;5),"",VLOOKUP(VLOOKUP($A98,Centrum!$D$3:$M$130,10,0),Centrum!$A$3:$CB$130,BE$132,0))</f>
        <v/>
      </c>
      <c r="BL98" s="333" t="str">
        <f>IF(OR(OR($A98="",TYPE(VLOOKUP($A98,Centrum!$D$3:$M$130,10,0))&gt;3),$A$1&lt;6),"",VLOOKUP(VLOOKUP($A98,Centrum!$D$3:$M$130,10,0),Centrum!$A$3:$CB$130,BL$132,0))</f>
        <v/>
      </c>
      <c r="BM98" s="333" t="str">
        <f>IF(OR(OR($A98="",TYPE(VLOOKUP($A98,Centrum!$D$3:$M$130,10,0))&gt;3),$A$1&lt;6),"",VLOOKUP(VLOOKUP($A98,Centrum!$D$3:$M$130,10,0),Centrum!$A$3:$CB$130,BM$132,0))</f>
        <v/>
      </c>
      <c r="BN98" s="333" t="str">
        <f>IF(OR(OR($A98="",TYPE(VLOOKUP($A98,Centrum!$D$3:$M$130,10,0))&gt;3),$A$1&lt;6),"",VLOOKUP(VLOOKUP($A98,Centrum!$D$3:$M$130,10,0),Centrum!$A$3:$CB$130,BN$132,0))</f>
        <v/>
      </c>
    </row>
    <row r="99" spans="1:66" x14ac:dyDescent="0.25">
      <c r="A99" s="333" t="str">
        <f>Centrum!A99</f>
        <v/>
      </c>
      <c r="B99" s="439" t="str">
        <f>IF(OR($A99="",TYPE(VLOOKUP($A99,Centrum!$D$3:$M$130,10,0))&gt;3),"",VLOOKUP(VLOOKUP(A99,Centrum!$D$3:$M$130,10,0),Centrum!$A$3:$CB$130,B$132,0))</f>
        <v/>
      </c>
      <c r="C99" s="333" t="str">
        <f>IF(OR($A99="",TYPE(VLOOKUP($A99,Centrum!$D$3:$M$130,10,0))&gt;3),"",VLOOKUP($A99,Centrum!$D$3:$M$130,10,0))</f>
        <v/>
      </c>
      <c r="E99" s="333" t="str">
        <f>IF(OR($A99="",TYPE(VLOOKUP($A99,Centrum!$D$3:$M$130,10,0))&gt;3),"",VLOOKUP(VLOOKUP($A99,Centrum!$D$3:$M$130,10,0),Centrum!$A$3:$CB$130,E$132,0))</f>
        <v/>
      </c>
      <c r="F99" s="333" t="str">
        <f>IF(OR($A99="",TYPE(VLOOKUP($A99,Centrum!$D$3:$M$130,10,0))&gt;3),"",VLOOKUP(VLOOKUP($A99,Centrum!$D$3:$M$130,10,0),Centrum!$A$3:$CB$130,F$132,0))</f>
        <v/>
      </c>
      <c r="G99" s="333" t="str">
        <f>IF(OR($A99="",TYPE(VLOOKUP($A99,Centrum!$D$3:$M$130,10,0))&gt;3),"",VLOOKUP(VLOOKUP($A99,Centrum!$D$3:$M$130,10,0),Centrum!$A$3:$CB$130,G$132,0))</f>
        <v/>
      </c>
      <c r="H99" s="333" t="str">
        <f>IF($A99="","",VLOOKUP(VLOOKUP($A99,Centrum!$D$3:$M$130,10,0),Centrum!$A$3:$CB$130,H$132,0))</f>
        <v/>
      </c>
      <c r="I99" s="333" t="str">
        <f>IF($A99="","",VLOOKUP(VLOOKUP($A99,Centrum!$D$3:$M$130,10,0),Centrum!$A$3:$CB$130,I$132,0))</f>
        <v/>
      </c>
      <c r="J99" s="333" t="str">
        <f>IF(OR($A99="",TYPE(VLOOKUP($A99,Centrum!$D$3:$M$130,10,0))&gt;3),"",VLOOKUP(VLOOKUP($A99,Centrum!$D$3:$M$130,10,0),Centrum!$A$3:$CB$130,J$132,0))</f>
        <v/>
      </c>
      <c r="L99" s="333" t="str">
        <f>IF(OR($A99="",TYPE(VLOOKUP($A99,Centrum!$D$3:$M$130,10,0))&gt;3),"",VLOOKUP(VLOOKUP($A99,Centrum!$D$3:$M$130,10,0),Centrum!$A$3:$CB$130,L$132,0))</f>
        <v/>
      </c>
      <c r="M99" s="333" t="str">
        <f>IF(OR($A99="",TYPE(VLOOKUP($A99,Centrum!$D$3:$M$130,10,0))&gt;3),"",VLOOKUP(VLOOKUP($A99,Centrum!$D$3:$M$130,10,0),Centrum!$A$3:$CB$130,M$132,0))</f>
        <v/>
      </c>
      <c r="N99" s="333" t="str">
        <f>IF(OR($A99="",TYPE(VLOOKUP($A99,Centrum!$D$3:$M$130,10,0))&gt;3),"",VLOOKUP(VLOOKUP($A99,Centrum!$D$3:$M$130,10,0),Centrum!$A$3:$CB$130,N$132,0))</f>
        <v/>
      </c>
      <c r="O99" s="333" t="str">
        <f>IF(OR($A99="",TYPE(VLOOKUP($A99,Centrum!$D$3:$M$130,10,0))&gt;3),"",VLOOKUP(VLOOKUP($A99,Centrum!$D$3:$M$130,10,0),Centrum!$A$3:$CB$130,O$132,0))</f>
        <v/>
      </c>
      <c r="P99" s="333" t="str">
        <f>IF(OR($A99="",TYPE(VLOOKUP($A99,Centrum!$D$3:$M$130,10,0))&gt;3),"",VLOOKUP(VLOOKUP($A99,Centrum!$D$3:$M$130,10,0),Centrum!$A$3:$CB$130,P$132,0))</f>
        <v/>
      </c>
      <c r="Q99" s="333" t="str">
        <f>IF(OR($A99="",TYPE(VLOOKUP($A99,Centrum!$D$3:$M$130,10,0))&gt;3),"",VLOOKUP(VLOOKUP($A99,Centrum!$D$3:$M$130,10,0),Centrum!$A$3:$CB$130,Q$132,0))</f>
        <v/>
      </c>
      <c r="S99" s="333" t="str">
        <f>IF(OR($A99="",TYPE(VLOOKUP($A99,Centrum!$D$3:$M$130,10,0))&gt;3),"",VLOOKUP(VLOOKUP($A99,Centrum!$D$3:$M$130,10,0),Centrum!$A$3:$CB$130,S$132,0))</f>
        <v/>
      </c>
      <c r="T99" s="333" t="str">
        <f>IF(OR($A99="",TYPE(VLOOKUP($A99,Centrum!$D$3:$M$130,10,0))&gt;3),"",VLOOKUP(VLOOKUP($A99,Centrum!$D$3:$M$130,10,0),Centrum!$A$3:$CB$130,T$132,0))</f>
        <v/>
      </c>
      <c r="U99" s="333" t="str">
        <f>IF(OR($A99="",TYPE(VLOOKUP($A99,Centrum!$D$3:$M$130,10,0))&gt;3),"",VLOOKUP(VLOOKUP($A99,Centrum!$D$3:$M$130,10,0),Centrum!$A$3:$CB$130,U$132,0))</f>
        <v/>
      </c>
      <c r="AB99" s="333" t="str">
        <f>IF(OR($A99="",TYPE(VLOOKUP($A99,Centrum!$D$3:$M$130,10,0))&gt;3),"",VLOOKUP(VLOOKUP($A99,Centrum!$D$3:$M$130,10,0),Centrum!$A$3:$CB$130,AB$132,0))</f>
        <v/>
      </c>
      <c r="AC99" s="333" t="str">
        <f>IF(OR($A99="",TYPE(VLOOKUP($A99,Centrum!$D$3:$M$130,10,0))&gt;3),"",VLOOKUP(VLOOKUP($A99,Centrum!$D$3:$M$130,10,0),Centrum!$A$3:$CB$130,AC$132,0))</f>
        <v/>
      </c>
      <c r="AD99" s="333" t="str">
        <f>IF(OR($A99="",TYPE(VLOOKUP($A99,Centrum!$D$3:$M$130,10,0))&gt;3),"",VLOOKUP(VLOOKUP($A99,Centrum!$D$3:$M$130,10,0),Centrum!$A$3:$CB$130,AD$132,0))</f>
        <v/>
      </c>
      <c r="AK99" s="333" t="str">
        <f>IF(OR($A99="",TYPE(VLOOKUP($A99,Centrum!$D$3:$M$130,10,0))&gt;3),"",VLOOKUP(VLOOKUP($A99,Centrum!$D$3:$M$130,10,0),Centrum!$A$3:$CB$130,AK$132,0))</f>
        <v/>
      </c>
      <c r="AL99" s="333" t="str">
        <f>IF(OR($A99="",TYPE(VLOOKUP($A99,Centrum!$D$3:$M$130,10,0))&gt;3),"",VLOOKUP(VLOOKUP($A99,Centrum!$D$3:$M$130,10,0),Centrum!$A$3:$CB$130,AL$132,0))</f>
        <v/>
      </c>
      <c r="AM99" s="333" t="str">
        <f>IF(OR($A99="",TYPE(VLOOKUP($A99,Centrum!$D$3:$M$130,10,0))&gt;3),"",VLOOKUP(VLOOKUP($A99,Centrum!$D$3:$M$130,10,0),Centrum!$A$3:$CB$130,AM$132,0))</f>
        <v/>
      </c>
      <c r="AT99" s="333" t="str">
        <f>IF(OR(OR($A99="",TYPE(VLOOKUP($A99,Centrum!$D$3:$M$130,10,0))&gt;3),$A$1&lt;4),"",VLOOKUP(VLOOKUP($A99,Centrum!$D$3:$M$130,10,0),Centrum!$A$3:$CB$130,AT$132,0))</f>
        <v/>
      </c>
      <c r="AU99" s="333" t="str">
        <f>IF(OR(OR($A99="",TYPE(VLOOKUP($A99,Centrum!$D$3:$M$130,10,0))&gt;3),$A$1&lt;4),"",VLOOKUP(VLOOKUP($A99,Centrum!$D$3:$M$130,10,0),Centrum!$A$3:$CB$130,AU$132,0))</f>
        <v/>
      </c>
      <c r="AV99" s="333" t="str">
        <f>IF(OR(OR($A99="",TYPE(VLOOKUP($A99,Centrum!$D$3:$M$130,10,0))&gt;3),$A$1&lt;4),"",VLOOKUP(VLOOKUP($A99,Centrum!$D$3:$M$130,10,0),Centrum!$A$3:$CB$130,AV$132,0))</f>
        <v/>
      </c>
      <c r="BC99" s="333" t="str">
        <f>IF(OR(OR($A99="",TYPE(VLOOKUP($A99,Centrum!$D$3:$M$130,10,0))&gt;3),$A$1&lt;5),"",VLOOKUP(VLOOKUP($A99,Centrum!$D$3:$M$130,10,0),Centrum!$A$3:$CB$130,BC$132,0))</f>
        <v/>
      </c>
      <c r="BD99" s="333" t="str">
        <f>IF(OR(OR($A99="",TYPE(VLOOKUP($A99,Centrum!$D$3:$M$130,10,0))&gt;3),$A$1&lt;5),"",VLOOKUP(VLOOKUP($A99,Centrum!$D$3:$M$130,10,0),Centrum!$A$3:$CB$130,BD$132,0))</f>
        <v/>
      </c>
      <c r="BE99" s="333" t="str">
        <f>IF(OR(OR($A99="",TYPE(VLOOKUP($A99,Centrum!$D$3:$M$130,10,0))&gt;3),$A$1&lt;5),"",VLOOKUP(VLOOKUP($A99,Centrum!$D$3:$M$130,10,0),Centrum!$A$3:$CB$130,BE$132,0))</f>
        <v/>
      </c>
      <c r="BL99" s="333" t="str">
        <f>IF(OR(OR($A99="",TYPE(VLOOKUP($A99,Centrum!$D$3:$M$130,10,0))&gt;3),$A$1&lt;6),"",VLOOKUP(VLOOKUP($A99,Centrum!$D$3:$M$130,10,0),Centrum!$A$3:$CB$130,BL$132,0))</f>
        <v/>
      </c>
      <c r="BM99" s="333" t="str">
        <f>IF(OR(OR($A99="",TYPE(VLOOKUP($A99,Centrum!$D$3:$M$130,10,0))&gt;3),$A$1&lt;6),"",VLOOKUP(VLOOKUP($A99,Centrum!$D$3:$M$130,10,0),Centrum!$A$3:$CB$130,BM$132,0))</f>
        <v/>
      </c>
      <c r="BN99" s="333" t="str">
        <f>IF(OR(OR($A99="",TYPE(VLOOKUP($A99,Centrum!$D$3:$M$130,10,0))&gt;3),$A$1&lt;6),"",VLOOKUP(VLOOKUP($A99,Centrum!$D$3:$M$130,10,0),Centrum!$A$3:$CB$130,BN$132,0))</f>
        <v/>
      </c>
    </row>
    <row r="100" spans="1:66" x14ac:dyDescent="0.25">
      <c r="A100" s="333" t="str">
        <f>Centrum!A100</f>
        <v/>
      </c>
      <c r="B100" s="439" t="str">
        <f>IF(OR($A100="",TYPE(VLOOKUP($A100,Centrum!$D$3:$M$130,10,0))&gt;3),"",VLOOKUP(VLOOKUP(A100,Centrum!$D$3:$M$130,10,0),Centrum!$A$3:$CB$130,B$132,0))</f>
        <v/>
      </c>
      <c r="C100" s="333" t="str">
        <f>IF(OR($A100="",TYPE(VLOOKUP($A100,Centrum!$D$3:$M$130,10,0))&gt;3),"",VLOOKUP($A100,Centrum!$D$3:$M$130,10,0))</f>
        <v/>
      </c>
      <c r="E100" s="333" t="str">
        <f>IF(OR($A100="",TYPE(VLOOKUP($A100,Centrum!$D$3:$M$130,10,0))&gt;3),"",VLOOKUP(VLOOKUP($A100,Centrum!$D$3:$M$130,10,0),Centrum!$A$3:$CB$130,E$132,0))</f>
        <v/>
      </c>
      <c r="F100" s="333" t="str">
        <f>IF(OR($A100="",TYPE(VLOOKUP($A100,Centrum!$D$3:$M$130,10,0))&gt;3),"",VLOOKUP(VLOOKUP($A100,Centrum!$D$3:$M$130,10,0),Centrum!$A$3:$CB$130,F$132,0))</f>
        <v/>
      </c>
      <c r="G100" s="333" t="str">
        <f>IF(OR($A100="",TYPE(VLOOKUP($A100,Centrum!$D$3:$M$130,10,0))&gt;3),"",VLOOKUP(VLOOKUP($A100,Centrum!$D$3:$M$130,10,0),Centrum!$A$3:$CB$130,G$132,0))</f>
        <v/>
      </c>
      <c r="H100" s="333" t="str">
        <f>IF($A100="","",VLOOKUP(VLOOKUP($A100,Centrum!$D$3:$M$130,10,0),Centrum!$A$3:$CB$130,H$132,0))</f>
        <v/>
      </c>
      <c r="I100" s="333" t="str">
        <f>IF($A100="","",VLOOKUP(VLOOKUP($A100,Centrum!$D$3:$M$130,10,0),Centrum!$A$3:$CB$130,I$132,0))</f>
        <v/>
      </c>
      <c r="J100" s="333" t="str">
        <f>IF(OR($A100="",TYPE(VLOOKUP($A100,Centrum!$D$3:$M$130,10,0))&gt;3),"",VLOOKUP(VLOOKUP($A100,Centrum!$D$3:$M$130,10,0),Centrum!$A$3:$CB$130,J$132,0))</f>
        <v/>
      </c>
      <c r="L100" s="333" t="str">
        <f>IF(OR($A100="",TYPE(VLOOKUP($A100,Centrum!$D$3:$M$130,10,0))&gt;3),"",VLOOKUP(VLOOKUP($A100,Centrum!$D$3:$M$130,10,0),Centrum!$A$3:$CB$130,L$132,0))</f>
        <v/>
      </c>
      <c r="M100" s="333" t="str">
        <f>IF(OR($A100="",TYPE(VLOOKUP($A100,Centrum!$D$3:$M$130,10,0))&gt;3),"",VLOOKUP(VLOOKUP($A100,Centrum!$D$3:$M$130,10,0),Centrum!$A$3:$CB$130,M$132,0))</f>
        <v/>
      </c>
      <c r="N100" s="333" t="str">
        <f>IF(OR($A100="",TYPE(VLOOKUP($A100,Centrum!$D$3:$M$130,10,0))&gt;3),"",VLOOKUP(VLOOKUP($A100,Centrum!$D$3:$M$130,10,0),Centrum!$A$3:$CB$130,N$132,0))</f>
        <v/>
      </c>
      <c r="O100" s="333" t="str">
        <f>IF(OR($A100="",TYPE(VLOOKUP($A100,Centrum!$D$3:$M$130,10,0))&gt;3),"",VLOOKUP(VLOOKUP($A100,Centrum!$D$3:$M$130,10,0),Centrum!$A$3:$CB$130,O$132,0))</f>
        <v/>
      </c>
      <c r="P100" s="333" t="str">
        <f>IF(OR($A100="",TYPE(VLOOKUP($A100,Centrum!$D$3:$M$130,10,0))&gt;3),"",VLOOKUP(VLOOKUP($A100,Centrum!$D$3:$M$130,10,0),Centrum!$A$3:$CB$130,P$132,0))</f>
        <v/>
      </c>
      <c r="Q100" s="333" t="str">
        <f>IF(OR($A100="",TYPE(VLOOKUP($A100,Centrum!$D$3:$M$130,10,0))&gt;3),"",VLOOKUP(VLOOKUP($A100,Centrum!$D$3:$M$130,10,0),Centrum!$A$3:$CB$130,Q$132,0))</f>
        <v/>
      </c>
      <c r="S100" s="333" t="str">
        <f>IF(OR($A100="",TYPE(VLOOKUP($A100,Centrum!$D$3:$M$130,10,0))&gt;3),"",VLOOKUP(VLOOKUP($A100,Centrum!$D$3:$M$130,10,0),Centrum!$A$3:$CB$130,S$132,0))</f>
        <v/>
      </c>
      <c r="T100" s="333" t="str">
        <f>IF(OR($A100="",TYPE(VLOOKUP($A100,Centrum!$D$3:$M$130,10,0))&gt;3),"",VLOOKUP(VLOOKUP($A100,Centrum!$D$3:$M$130,10,0),Centrum!$A$3:$CB$130,T$132,0))</f>
        <v/>
      </c>
      <c r="U100" s="333" t="str">
        <f>IF(OR($A100="",TYPE(VLOOKUP($A100,Centrum!$D$3:$M$130,10,0))&gt;3),"",VLOOKUP(VLOOKUP($A100,Centrum!$D$3:$M$130,10,0),Centrum!$A$3:$CB$130,U$132,0))</f>
        <v/>
      </c>
      <c r="AB100" s="333" t="str">
        <f>IF(OR($A100="",TYPE(VLOOKUP($A100,Centrum!$D$3:$M$130,10,0))&gt;3),"",VLOOKUP(VLOOKUP($A100,Centrum!$D$3:$M$130,10,0),Centrum!$A$3:$CB$130,AB$132,0))</f>
        <v/>
      </c>
      <c r="AC100" s="333" t="str">
        <f>IF(OR($A100="",TYPE(VLOOKUP($A100,Centrum!$D$3:$M$130,10,0))&gt;3),"",VLOOKUP(VLOOKUP($A100,Centrum!$D$3:$M$130,10,0),Centrum!$A$3:$CB$130,AC$132,0))</f>
        <v/>
      </c>
      <c r="AD100" s="333" t="str">
        <f>IF(OR($A100="",TYPE(VLOOKUP($A100,Centrum!$D$3:$M$130,10,0))&gt;3),"",VLOOKUP(VLOOKUP($A100,Centrum!$D$3:$M$130,10,0),Centrum!$A$3:$CB$130,AD$132,0))</f>
        <v/>
      </c>
      <c r="AK100" s="333" t="str">
        <f>IF(OR($A100="",TYPE(VLOOKUP($A100,Centrum!$D$3:$M$130,10,0))&gt;3),"",VLOOKUP(VLOOKUP($A100,Centrum!$D$3:$M$130,10,0),Centrum!$A$3:$CB$130,AK$132,0))</f>
        <v/>
      </c>
      <c r="AL100" s="333" t="str">
        <f>IF(OR($A100="",TYPE(VLOOKUP($A100,Centrum!$D$3:$M$130,10,0))&gt;3),"",VLOOKUP(VLOOKUP($A100,Centrum!$D$3:$M$130,10,0),Centrum!$A$3:$CB$130,AL$132,0))</f>
        <v/>
      </c>
      <c r="AM100" s="333" t="str">
        <f>IF(OR($A100="",TYPE(VLOOKUP($A100,Centrum!$D$3:$M$130,10,0))&gt;3),"",VLOOKUP(VLOOKUP($A100,Centrum!$D$3:$M$130,10,0),Centrum!$A$3:$CB$130,AM$132,0))</f>
        <v/>
      </c>
      <c r="AT100" s="333" t="str">
        <f>IF(OR(OR($A100="",TYPE(VLOOKUP($A100,Centrum!$D$3:$M$130,10,0))&gt;3),$A$1&lt;4),"",VLOOKUP(VLOOKUP($A100,Centrum!$D$3:$M$130,10,0),Centrum!$A$3:$CB$130,AT$132,0))</f>
        <v/>
      </c>
      <c r="AU100" s="333" t="str">
        <f>IF(OR(OR($A100="",TYPE(VLOOKUP($A100,Centrum!$D$3:$M$130,10,0))&gt;3),$A$1&lt;4),"",VLOOKUP(VLOOKUP($A100,Centrum!$D$3:$M$130,10,0),Centrum!$A$3:$CB$130,AU$132,0))</f>
        <v/>
      </c>
      <c r="AV100" s="333" t="str">
        <f>IF(OR(OR($A100="",TYPE(VLOOKUP($A100,Centrum!$D$3:$M$130,10,0))&gt;3),$A$1&lt;4),"",VLOOKUP(VLOOKUP($A100,Centrum!$D$3:$M$130,10,0),Centrum!$A$3:$CB$130,AV$132,0))</f>
        <v/>
      </c>
      <c r="BC100" s="333" t="str">
        <f>IF(OR(OR($A100="",TYPE(VLOOKUP($A100,Centrum!$D$3:$M$130,10,0))&gt;3),$A$1&lt;5),"",VLOOKUP(VLOOKUP($A100,Centrum!$D$3:$M$130,10,0),Centrum!$A$3:$CB$130,BC$132,0))</f>
        <v/>
      </c>
      <c r="BD100" s="333" t="str">
        <f>IF(OR(OR($A100="",TYPE(VLOOKUP($A100,Centrum!$D$3:$M$130,10,0))&gt;3),$A$1&lt;5),"",VLOOKUP(VLOOKUP($A100,Centrum!$D$3:$M$130,10,0),Centrum!$A$3:$CB$130,BD$132,0))</f>
        <v/>
      </c>
      <c r="BE100" s="333" t="str">
        <f>IF(OR(OR($A100="",TYPE(VLOOKUP($A100,Centrum!$D$3:$M$130,10,0))&gt;3),$A$1&lt;5),"",VLOOKUP(VLOOKUP($A100,Centrum!$D$3:$M$130,10,0),Centrum!$A$3:$CB$130,BE$132,0))</f>
        <v/>
      </c>
      <c r="BL100" s="333" t="str">
        <f>IF(OR(OR($A100="",TYPE(VLOOKUP($A100,Centrum!$D$3:$M$130,10,0))&gt;3),$A$1&lt;6),"",VLOOKUP(VLOOKUP($A100,Centrum!$D$3:$M$130,10,0),Centrum!$A$3:$CB$130,BL$132,0))</f>
        <v/>
      </c>
      <c r="BM100" s="333" t="str">
        <f>IF(OR(OR($A100="",TYPE(VLOOKUP($A100,Centrum!$D$3:$M$130,10,0))&gt;3),$A$1&lt;6),"",VLOOKUP(VLOOKUP($A100,Centrum!$D$3:$M$130,10,0),Centrum!$A$3:$CB$130,BM$132,0))</f>
        <v/>
      </c>
      <c r="BN100" s="333" t="str">
        <f>IF(OR(OR($A100="",TYPE(VLOOKUP($A100,Centrum!$D$3:$M$130,10,0))&gt;3),$A$1&lt;6),"",VLOOKUP(VLOOKUP($A100,Centrum!$D$3:$M$130,10,0),Centrum!$A$3:$CB$130,BN$132,0))</f>
        <v/>
      </c>
    </row>
    <row r="101" spans="1:66" x14ac:dyDescent="0.25">
      <c r="A101" s="333" t="str">
        <f>Centrum!A101</f>
        <v/>
      </c>
      <c r="B101" s="439" t="str">
        <f>IF(OR($A101="",TYPE(VLOOKUP($A101,Centrum!$D$3:$M$130,10,0))&gt;3),"",VLOOKUP(VLOOKUP(A101,Centrum!$D$3:$M$130,10,0),Centrum!$A$3:$CB$130,B$132,0))</f>
        <v/>
      </c>
      <c r="C101" s="333" t="str">
        <f>IF(OR($A101="",TYPE(VLOOKUP($A101,Centrum!$D$3:$M$130,10,0))&gt;3),"",VLOOKUP($A101,Centrum!$D$3:$M$130,10,0))</f>
        <v/>
      </c>
      <c r="E101" s="333" t="str">
        <f>IF(OR($A101="",TYPE(VLOOKUP($A101,Centrum!$D$3:$M$130,10,0))&gt;3),"",VLOOKUP(VLOOKUP($A101,Centrum!$D$3:$M$130,10,0),Centrum!$A$3:$CB$130,E$132,0))</f>
        <v/>
      </c>
      <c r="F101" s="333" t="str">
        <f>IF(OR($A101="",TYPE(VLOOKUP($A101,Centrum!$D$3:$M$130,10,0))&gt;3),"",VLOOKUP(VLOOKUP($A101,Centrum!$D$3:$M$130,10,0),Centrum!$A$3:$CB$130,F$132,0))</f>
        <v/>
      </c>
      <c r="G101" s="333" t="str">
        <f>IF(OR($A101="",TYPE(VLOOKUP($A101,Centrum!$D$3:$M$130,10,0))&gt;3),"",VLOOKUP(VLOOKUP($A101,Centrum!$D$3:$M$130,10,0),Centrum!$A$3:$CB$130,G$132,0))</f>
        <v/>
      </c>
      <c r="H101" s="333" t="str">
        <f>IF($A101="","",VLOOKUP(VLOOKUP($A101,Centrum!$D$3:$M$130,10,0),Centrum!$A$3:$CB$130,H$132,0))</f>
        <v/>
      </c>
      <c r="I101" s="333" t="str">
        <f>IF($A101="","",VLOOKUP(VLOOKUP($A101,Centrum!$D$3:$M$130,10,0),Centrum!$A$3:$CB$130,I$132,0))</f>
        <v/>
      </c>
      <c r="J101" s="333" t="str">
        <f>IF(OR($A101="",TYPE(VLOOKUP($A101,Centrum!$D$3:$M$130,10,0))&gt;3),"",VLOOKUP(VLOOKUP($A101,Centrum!$D$3:$M$130,10,0),Centrum!$A$3:$CB$130,J$132,0))</f>
        <v/>
      </c>
      <c r="L101" s="333" t="str">
        <f>IF(OR($A101="",TYPE(VLOOKUP($A101,Centrum!$D$3:$M$130,10,0))&gt;3),"",VLOOKUP(VLOOKUP($A101,Centrum!$D$3:$M$130,10,0),Centrum!$A$3:$CB$130,L$132,0))</f>
        <v/>
      </c>
      <c r="M101" s="333" t="str">
        <f>IF(OR($A101="",TYPE(VLOOKUP($A101,Centrum!$D$3:$M$130,10,0))&gt;3),"",VLOOKUP(VLOOKUP($A101,Centrum!$D$3:$M$130,10,0),Centrum!$A$3:$CB$130,M$132,0))</f>
        <v/>
      </c>
      <c r="N101" s="333" t="str">
        <f>IF(OR($A101="",TYPE(VLOOKUP($A101,Centrum!$D$3:$M$130,10,0))&gt;3),"",VLOOKUP(VLOOKUP($A101,Centrum!$D$3:$M$130,10,0),Centrum!$A$3:$CB$130,N$132,0))</f>
        <v/>
      </c>
      <c r="O101" s="333" t="str">
        <f>IF(OR($A101="",TYPE(VLOOKUP($A101,Centrum!$D$3:$M$130,10,0))&gt;3),"",VLOOKUP(VLOOKUP($A101,Centrum!$D$3:$M$130,10,0),Centrum!$A$3:$CB$130,O$132,0))</f>
        <v/>
      </c>
      <c r="P101" s="333" t="str">
        <f>IF(OR($A101="",TYPE(VLOOKUP($A101,Centrum!$D$3:$M$130,10,0))&gt;3),"",VLOOKUP(VLOOKUP($A101,Centrum!$D$3:$M$130,10,0),Centrum!$A$3:$CB$130,P$132,0))</f>
        <v/>
      </c>
      <c r="Q101" s="333" t="str">
        <f>IF(OR($A101="",TYPE(VLOOKUP($A101,Centrum!$D$3:$M$130,10,0))&gt;3),"",VLOOKUP(VLOOKUP($A101,Centrum!$D$3:$M$130,10,0),Centrum!$A$3:$CB$130,Q$132,0))</f>
        <v/>
      </c>
      <c r="S101" s="333" t="str">
        <f>IF(OR($A101="",TYPE(VLOOKUP($A101,Centrum!$D$3:$M$130,10,0))&gt;3),"",VLOOKUP(VLOOKUP($A101,Centrum!$D$3:$M$130,10,0),Centrum!$A$3:$CB$130,S$132,0))</f>
        <v/>
      </c>
      <c r="T101" s="333" t="str">
        <f>IF(OR($A101="",TYPE(VLOOKUP($A101,Centrum!$D$3:$M$130,10,0))&gt;3),"",VLOOKUP(VLOOKUP($A101,Centrum!$D$3:$M$130,10,0),Centrum!$A$3:$CB$130,T$132,0))</f>
        <v/>
      </c>
      <c r="U101" s="333" t="str">
        <f>IF(OR($A101="",TYPE(VLOOKUP($A101,Centrum!$D$3:$M$130,10,0))&gt;3),"",VLOOKUP(VLOOKUP($A101,Centrum!$D$3:$M$130,10,0),Centrum!$A$3:$CB$130,U$132,0))</f>
        <v/>
      </c>
      <c r="AB101" s="333" t="str">
        <f>IF(OR($A101="",TYPE(VLOOKUP($A101,Centrum!$D$3:$M$130,10,0))&gt;3),"",VLOOKUP(VLOOKUP($A101,Centrum!$D$3:$M$130,10,0),Centrum!$A$3:$CB$130,AB$132,0))</f>
        <v/>
      </c>
      <c r="AC101" s="333" t="str">
        <f>IF(OR($A101="",TYPE(VLOOKUP($A101,Centrum!$D$3:$M$130,10,0))&gt;3),"",VLOOKUP(VLOOKUP($A101,Centrum!$D$3:$M$130,10,0),Centrum!$A$3:$CB$130,AC$132,0))</f>
        <v/>
      </c>
      <c r="AD101" s="333" t="str">
        <f>IF(OR($A101="",TYPE(VLOOKUP($A101,Centrum!$D$3:$M$130,10,0))&gt;3),"",VLOOKUP(VLOOKUP($A101,Centrum!$D$3:$M$130,10,0),Centrum!$A$3:$CB$130,AD$132,0))</f>
        <v/>
      </c>
      <c r="AK101" s="333" t="str">
        <f>IF(OR($A101="",TYPE(VLOOKUP($A101,Centrum!$D$3:$M$130,10,0))&gt;3),"",VLOOKUP(VLOOKUP($A101,Centrum!$D$3:$M$130,10,0),Centrum!$A$3:$CB$130,AK$132,0))</f>
        <v/>
      </c>
      <c r="AL101" s="333" t="str">
        <f>IF(OR($A101="",TYPE(VLOOKUP($A101,Centrum!$D$3:$M$130,10,0))&gt;3),"",VLOOKUP(VLOOKUP($A101,Centrum!$D$3:$M$130,10,0),Centrum!$A$3:$CB$130,AL$132,0))</f>
        <v/>
      </c>
      <c r="AM101" s="333" t="str">
        <f>IF(OR($A101="",TYPE(VLOOKUP($A101,Centrum!$D$3:$M$130,10,0))&gt;3),"",VLOOKUP(VLOOKUP($A101,Centrum!$D$3:$M$130,10,0),Centrum!$A$3:$CB$130,AM$132,0))</f>
        <v/>
      </c>
      <c r="AT101" s="333" t="str">
        <f>IF(OR(OR($A101="",TYPE(VLOOKUP($A101,Centrum!$D$3:$M$130,10,0))&gt;3),$A$1&lt;4),"",VLOOKUP(VLOOKUP($A101,Centrum!$D$3:$M$130,10,0),Centrum!$A$3:$CB$130,AT$132,0))</f>
        <v/>
      </c>
      <c r="AU101" s="333" t="str">
        <f>IF(OR(OR($A101="",TYPE(VLOOKUP($A101,Centrum!$D$3:$M$130,10,0))&gt;3),$A$1&lt;4),"",VLOOKUP(VLOOKUP($A101,Centrum!$D$3:$M$130,10,0),Centrum!$A$3:$CB$130,AU$132,0))</f>
        <v/>
      </c>
      <c r="AV101" s="333" t="str">
        <f>IF(OR(OR($A101="",TYPE(VLOOKUP($A101,Centrum!$D$3:$M$130,10,0))&gt;3),$A$1&lt;4),"",VLOOKUP(VLOOKUP($A101,Centrum!$D$3:$M$130,10,0),Centrum!$A$3:$CB$130,AV$132,0))</f>
        <v/>
      </c>
      <c r="BC101" s="333" t="str">
        <f>IF(OR(OR($A101="",TYPE(VLOOKUP($A101,Centrum!$D$3:$M$130,10,0))&gt;3),$A$1&lt;5),"",VLOOKUP(VLOOKUP($A101,Centrum!$D$3:$M$130,10,0),Centrum!$A$3:$CB$130,BC$132,0))</f>
        <v/>
      </c>
      <c r="BD101" s="333" t="str">
        <f>IF(OR(OR($A101="",TYPE(VLOOKUP($A101,Centrum!$D$3:$M$130,10,0))&gt;3),$A$1&lt;5),"",VLOOKUP(VLOOKUP($A101,Centrum!$D$3:$M$130,10,0),Centrum!$A$3:$CB$130,BD$132,0))</f>
        <v/>
      </c>
      <c r="BE101" s="333" t="str">
        <f>IF(OR(OR($A101="",TYPE(VLOOKUP($A101,Centrum!$D$3:$M$130,10,0))&gt;3),$A$1&lt;5),"",VLOOKUP(VLOOKUP($A101,Centrum!$D$3:$M$130,10,0),Centrum!$A$3:$CB$130,BE$132,0))</f>
        <v/>
      </c>
      <c r="BL101" s="333" t="str">
        <f>IF(OR(OR($A101="",TYPE(VLOOKUP($A101,Centrum!$D$3:$M$130,10,0))&gt;3),$A$1&lt;6),"",VLOOKUP(VLOOKUP($A101,Centrum!$D$3:$M$130,10,0),Centrum!$A$3:$CB$130,BL$132,0))</f>
        <v/>
      </c>
      <c r="BM101" s="333" t="str">
        <f>IF(OR(OR($A101="",TYPE(VLOOKUP($A101,Centrum!$D$3:$M$130,10,0))&gt;3),$A$1&lt;6),"",VLOOKUP(VLOOKUP($A101,Centrum!$D$3:$M$130,10,0),Centrum!$A$3:$CB$130,BM$132,0))</f>
        <v/>
      </c>
      <c r="BN101" s="333" t="str">
        <f>IF(OR(OR($A101="",TYPE(VLOOKUP($A101,Centrum!$D$3:$M$130,10,0))&gt;3),$A$1&lt;6),"",VLOOKUP(VLOOKUP($A101,Centrum!$D$3:$M$130,10,0),Centrum!$A$3:$CB$130,BN$132,0))</f>
        <v/>
      </c>
    </row>
    <row r="102" spans="1:66" x14ac:dyDescent="0.25">
      <c r="A102" s="333" t="str">
        <f>Centrum!A102</f>
        <v/>
      </c>
      <c r="B102" s="439" t="str">
        <f>IF(OR($A102="",TYPE(VLOOKUP($A102,Centrum!$D$3:$M$130,10,0))&gt;3),"",VLOOKUP(VLOOKUP(A102,Centrum!$D$3:$M$130,10,0),Centrum!$A$3:$CB$130,B$132,0))</f>
        <v/>
      </c>
      <c r="C102" s="333" t="str">
        <f>IF(OR($A102="",TYPE(VLOOKUP($A102,Centrum!$D$3:$M$130,10,0))&gt;3),"",VLOOKUP($A102,Centrum!$D$3:$M$130,10,0))</f>
        <v/>
      </c>
      <c r="E102" s="333" t="str">
        <f>IF(OR($A102="",TYPE(VLOOKUP($A102,Centrum!$D$3:$M$130,10,0))&gt;3),"",VLOOKUP(VLOOKUP($A102,Centrum!$D$3:$M$130,10,0),Centrum!$A$3:$CB$130,E$132,0))</f>
        <v/>
      </c>
      <c r="F102" s="333" t="str">
        <f>IF(OR($A102="",TYPE(VLOOKUP($A102,Centrum!$D$3:$M$130,10,0))&gt;3),"",VLOOKUP(VLOOKUP($A102,Centrum!$D$3:$M$130,10,0),Centrum!$A$3:$CB$130,F$132,0))</f>
        <v/>
      </c>
      <c r="G102" s="333" t="str">
        <f>IF(OR($A102="",TYPE(VLOOKUP($A102,Centrum!$D$3:$M$130,10,0))&gt;3),"",VLOOKUP(VLOOKUP($A102,Centrum!$D$3:$M$130,10,0),Centrum!$A$3:$CB$130,G$132,0))</f>
        <v/>
      </c>
      <c r="H102" s="333" t="str">
        <f>IF($A102="","",VLOOKUP(VLOOKUP($A102,Centrum!$D$3:$M$130,10,0),Centrum!$A$3:$CB$130,H$132,0))</f>
        <v/>
      </c>
      <c r="I102" s="333" t="str">
        <f>IF($A102="","",VLOOKUP(VLOOKUP($A102,Centrum!$D$3:$M$130,10,0),Centrum!$A$3:$CB$130,I$132,0))</f>
        <v/>
      </c>
      <c r="J102" s="333" t="str">
        <f>IF(OR($A102="",TYPE(VLOOKUP($A102,Centrum!$D$3:$M$130,10,0))&gt;3),"",VLOOKUP(VLOOKUP($A102,Centrum!$D$3:$M$130,10,0),Centrum!$A$3:$CB$130,J$132,0))</f>
        <v/>
      </c>
      <c r="L102" s="333" t="str">
        <f>IF(OR($A102="",TYPE(VLOOKUP($A102,Centrum!$D$3:$M$130,10,0))&gt;3),"",VLOOKUP(VLOOKUP($A102,Centrum!$D$3:$M$130,10,0),Centrum!$A$3:$CB$130,L$132,0))</f>
        <v/>
      </c>
      <c r="M102" s="333" t="str">
        <f>IF(OR($A102="",TYPE(VLOOKUP($A102,Centrum!$D$3:$M$130,10,0))&gt;3),"",VLOOKUP(VLOOKUP($A102,Centrum!$D$3:$M$130,10,0),Centrum!$A$3:$CB$130,M$132,0))</f>
        <v/>
      </c>
      <c r="N102" s="333" t="str">
        <f>IF(OR($A102="",TYPE(VLOOKUP($A102,Centrum!$D$3:$M$130,10,0))&gt;3),"",VLOOKUP(VLOOKUP($A102,Centrum!$D$3:$M$130,10,0),Centrum!$A$3:$CB$130,N$132,0))</f>
        <v/>
      </c>
      <c r="O102" s="333" t="str">
        <f>IF(OR($A102="",TYPE(VLOOKUP($A102,Centrum!$D$3:$M$130,10,0))&gt;3),"",VLOOKUP(VLOOKUP($A102,Centrum!$D$3:$M$130,10,0),Centrum!$A$3:$CB$130,O$132,0))</f>
        <v/>
      </c>
      <c r="P102" s="333" t="str">
        <f>IF(OR($A102="",TYPE(VLOOKUP($A102,Centrum!$D$3:$M$130,10,0))&gt;3),"",VLOOKUP(VLOOKUP($A102,Centrum!$D$3:$M$130,10,0),Centrum!$A$3:$CB$130,P$132,0))</f>
        <v/>
      </c>
      <c r="Q102" s="333" t="str">
        <f>IF(OR($A102="",TYPE(VLOOKUP($A102,Centrum!$D$3:$M$130,10,0))&gt;3),"",VLOOKUP(VLOOKUP($A102,Centrum!$D$3:$M$130,10,0),Centrum!$A$3:$CB$130,Q$132,0))</f>
        <v/>
      </c>
      <c r="S102" s="333" t="str">
        <f>IF(OR($A102="",TYPE(VLOOKUP($A102,Centrum!$D$3:$M$130,10,0))&gt;3),"",VLOOKUP(VLOOKUP($A102,Centrum!$D$3:$M$130,10,0),Centrum!$A$3:$CB$130,S$132,0))</f>
        <v/>
      </c>
      <c r="T102" s="333" t="str">
        <f>IF(OR($A102="",TYPE(VLOOKUP($A102,Centrum!$D$3:$M$130,10,0))&gt;3),"",VLOOKUP(VLOOKUP($A102,Centrum!$D$3:$M$130,10,0),Centrum!$A$3:$CB$130,T$132,0))</f>
        <v/>
      </c>
      <c r="U102" s="333" t="str">
        <f>IF(OR($A102="",TYPE(VLOOKUP($A102,Centrum!$D$3:$M$130,10,0))&gt;3),"",VLOOKUP(VLOOKUP($A102,Centrum!$D$3:$M$130,10,0),Centrum!$A$3:$CB$130,U$132,0))</f>
        <v/>
      </c>
      <c r="AB102" s="333" t="str">
        <f>IF(OR($A102="",TYPE(VLOOKUP($A102,Centrum!$D$3:$M$130,10,0))&gt;3),"",VLOOKUP(VLOOKUP($A102,Centrum!$D$3:$M$130,10,0),Centrum!$A$3:$CB$130,AB$132,0))</f>
        <v/>
      </c>
      <c r="AC102" s="333" t="str">
        <f>IF(OR($A102="",TYPE(VLOOKUP($A102,Centrum!$D$3:$M$130,10,0))&gt;3),"",VLOOKUP(VLOOKUP($A102,Centrum!$D$3:$M$130,10,0),Centrum!$A$3:$CB$130,AC$132,0))</f>
        <v/>
      </c>
      <c r="AD102" s="333" t="str">
        <f>IF(OR($A102="",TYPE(VLOOKUP($A102,Centrum!$D$3:$M$130,10,0))&gt;3),"",VLOOKUP(VLOOKUP($A102,Centrum!$D$3:$M$130,10,0),Centrum!$A$3:$CB$130,AD$132,0))</f>
        <v/>
      </c>
      <c r="AK102" s="333" t="str">
        <f>IF(OR($A102="",TYPE(VLOOKUP($A102,Centrum!$D$3:$M$130,10,0))&gt;3),"",VLOOKUP(VLOOKUP($A102,Centrum!$D$3:$M$130,10,0),Centrum!$A$3:$CB$130,AK$132,0))</f>
        <v/>
      </c>
      <c r="AL102" s="333" t="str">
        <f>IF(OR($A102="",TYPE(VLOOKUP($A102,Centrum!$D$3:$M$130,10,0))&gt;3),"",VLOOKUP(VLOOKUP($A102,Centrum!$D$3:$M$130,10,0),Centrum!$A$3:$CB$130,AL$132,0))</f>
        <v/>
      </c>
      <c r="AM102" s="333" t="str">
        <f>IF(OR($A102="",TYPE(VLOOKUP($A102,Centrum!$D$3:$M$130,10,0))&gt;3),"",VLOOKUP(VLOOKUP($A102,Centrum!$D$3:$M$130,10,0),Centrum!$A$3:$CB$130,AM$132,0))</f>
        <v/>
      </c>
      <c r="AT102" s="333" t="str">
        <f>IF(OR(OR($A102="",TYPE(VLOOKUP($A102,Centrum!$D$3:$M$130,10,0))&gt;3),$A$1&lt;4),"",VLOOKUP(VLOOKUP($A102,Centrum!$D$3:$M$130,10,0),Centrum!$A$3:$CB$130,AT$132,0))</f>
        <v/>
      </c>
      <c r="AU102" s="333" t="str">
        <f>IF(OR(OR($A102="",TYPE(VLOOKUP($A102,Centrum!$D$3:$M$130,10,0))&gt;3),$A$1&lt;4),"",VLOOKUP(VLOOKUP($A102,Centrum!$D$3:$M$130,10,0),Centrum!$A$3:$CB$130,AU$132,0))</f>
        <v/>
      </c>
      <c r="AV102" s="333" t="str">
        <f>IF(OR(OR($A102="",TYPE(VLOOKUP($A102,Centrum!$D$3:$M$130,10,0))&gt;3),$A$1&lt;4),"",VLOOKUP(VLOOKUP($A102,Centrum!$D$3:$M$130,10,0),Centrum!$A$3:$CB$130,AV$132,0))</f>
        <v/>
      </c>
      <c r="BC102" s="333" t="str">
        <f>IF(OR(OR($A102="",TYPE(VLOOKUP($A102,Centrum!$D$3:$M$130,10,0))&gt;3),$A$1&lt;5),"",VLOOKUP(VLOOKUP($A102,Centrum!$D$3:$M$130,10,0),Centrum!$A$3:$CB$130,BC$132,0))</f>
        <v/>
      </c>
      <c r="BD102" s="333" t="str">
        <f>IF(OR(OR($A102="",TYPE(VLOOKUP($A102,Centrum!$D$3:$M$130,10,0))&gt;3),$A$1&lt;5),"",VLOOKUP(VLOOKUP($A102,Centrum!$D$3:$M$130,10,0),Centrum!$A$3:$CB$130,BD$132,0))</f>
        <v/>
      </c>
      <c r="BE102" s="333" t="str">
        <f>IF(OR(OR($A102="",TYPE(VLOOKUP($A102,Centrum!$D$3:$M$130,10,0))&gt;3),$A$1&lt;5),"",VLOOKUP(VLOOKUP($A102,Centrum!$D$3:$M$130,10,0),Centrum!$A$3:$CB$130,BE$132,0))</f>
        <v/>
      </c>
      <c r="BL102" s="333" t="str">
        <f>IF(OR(OR($A102="",TYPE(VLOOKUP($A102,Centrum!$D$3:$M$130,10,0))&gt;3),$A$1&lt;6),"",VLOOKUP(VLOOKUP($A102,Centrum!$D$3:$M$130,10,0),Centrum!$A$3:$CB$130,BL$132,0))</f>
        <v/>
      </c>
      <c r="BM102" s="333" t="str">
        <f>IF(OR(OR($A102="",TYPE(VLOOKUP($A102,Centrum!$D$3:$M$130,10,0))&gt;3),$A$1&lt;6),"",VLOOKUP(VLOOKUP($A102,Centrum!$D$3:$M$130,10,0),Centrum!$A$3:$CB$130,BM$132,0))</f>
        <v/>
      </c>
      <c r="BN102" s="333" t="str">
        <f>IF(OR(OR($A102="",TYPE(VLOOKUP($A102,Centrum!$D$3:$M$130,10,0))&gt;3),$A$1&lt;6),"",VLOOKUP(VLOOKUP($A102,Centrum!$D$3:$M$130,10,0),Centrum!$A$3:$CB$130,BN$132,0))</f>
        <v/>
      </c>
    </row>
    <row r="103" spans="1:66" x14ac:dyDescent="0.25">
      <c r="A103" s="333" t="str">
        <f>Centrum!A103</f>
        <v/>
      </c>
      <c r="B103" s="439" t="str">
        <f>IF(OR($A103="",TYPE(VLOOKUP($A103,Centrum!$D$3:$M$130,10,0))&gt;3),"",VLOOKUP(VLOOKUP(A103,Centrum!$D$3:$M$130,10,0),Centrum!$A$3:$CB$130,B$132,0))</f>
        <v/>
      </c>
      <c r="C103" s="333" t="str">
        <f>IF(OR($A103="",TYPE(VLOOKUP($A103,Centrum!$D$3:$M$130,10,0))&gt;3),"",VLOOKUP($A103,Centrum!$D$3:$M$130,10,0))</f>
        <v/>
      </c>
      <c r="E103" s="333" t="str">
        <f>IF(OR($A103="",TYPE(VLOOKUP($A103,Centrum!$D$3:$M$130,10,0))&gt;3),"",VLOOKUP(VLOOKUP($A103,Centrum!$D$3:$M$130,10,0),Centrum!$A$3:$CB$130,E$132,0))</f>
        <v/>
      </c>
      <c r="F103" s="333" t="str">
        <f>IF(OR($A103="",TYPE(VLOOKUP($A103,Centrum!$D$3:$M$130,10,0))&gt;3),"",VLOOKUP(VLOOKUP($A103,Centrum!$D$3:$M$130,10,0),Centrum!$A$3:$CB$130,F$132,0))</f>
        <v/>
      </c>
      <c r="G103" s="333" t="str">
        <f>IF(OR($A103="",TYPE(VLOOKUP($A103,Centrum!$D$3:$M$130,10,0))&gt;3),"",VLOOKUP(VLOOKUP($A103,Centrum!$D$3:$M$130,10,0),Centrum!$A$3:$CB$130,G$132,0))</f>
        <v/>
      </c>
      <c r="H103" s="333" t="str">
        <f>IF($A103="","",VLOOKUP(VLOOKUP($A103,Centrum!$D$3:$M$130,10,0),Centrum!$A$3:$CB$130,H$132,0))</f>
        <v/>
      </c>
      <c r="I103" s="333" t="str">
        <f>IF($A103="","",VLOOKUP(VLOOKUP($A103,Centrum!$D$3:$M$130,10,0),Centrum!$A$3:$CB$130,I$132,0))</f>
        <v/>
      </c>
      <c r="J103" s="333" t="str">
        <f>IF(OR($A103="",TYPE(VLOOKUP($A103,Centrum!$D$3:$M$130,10,0))&gt;3),"",VLOOKUP(VLOOKUP($A103,Centrum!$D$3:$M$130,10,0),Centrum!$A$3:$CB$130,J$132,0))</f>
        <v/>
      </c>
      <c r="L103" s="333" t="str">
        <f>IF(OR($A103="",TYPE(VLOOKUP($A103,Centrum!$D$3:$M$130,10,0))&gt;3),"",VLOOKUP(VLOOKUP($A103,Centrum!$D$3:$M$130,10,0),Centrum!$A$3:$CB$130,L$132,0))</f>
        <v/>
      </c>
      <c r="M103" s="333" t="str">
        <f>IF(OR($A103="",TYPE(VLOOKUP($A103,Centrum!$D$3:$M$130,10,0))&gt;3),"",VLOOKUP(VLOOKUP($A103,Centrum!$D$3:$M$130,10,0),Centrum!$A$3:$CB$130,M$132,0))</f>
        <v/>
      </c>
      <c r="N103" s="333" t="str">
        <f>IF(OR($A103="",TYPE(VLOOKUP($A103,Centrum!$D$3:$M$130,10,0))&gt;3),"",VLOOKUP(VLOOKUP($A103,Centrum!$D$3:$M$130,10,0),Centrum!$A$3:$CB$130,N$132,0))</f>
        <v/>
      </c>
      <c r="O103" s="333" t="str">
        <f>IF(OR($A103="",TYPE(VLOOKUP($A103,Centrum!$D$3:$M$130,10,0))&gt;3),"",VLOOKUP(VLOOKUP($A103,Centrum!$D$3:$M$130,10,0),Centrum!$A$3:$CB$130,O$132,0))</f>
        <v/>
      </c>
      <c r="P103" s="333" t="str">
        <f>IF(OR($A103="",TYPE(VLOOKUP($A103,Centrum!$D$3:$M$130,10,0))&gt;3),"",VLOOKUP(VLOOKUP($A103,Centrum!$D$3:$M$130,10,0),Centrum!$A$3:$CB$130,P$132,0))</f>
        <v/>
      </c>
      <c r="Q103" s="333" t="str">
        <f>IF(OR($A103="",TYPE(VLOOKUP($A103,Centrum!$D$3:$M$130,10,0))&gt;3),"",VLOOKUP(VLOOKUP($A103,Centrum!$D$3:$M$130,10,0),Centrum!$A$3:$CB$130,Q$132,0))</f>
        <v/>
      </c>
      <c r="S103" s="333" t="str">
        <f>IF(OR($A103="",TYPE(VLOOKUP($A103,Centrum!$D$3:$M$130,10,0))&gt;3),"",VLOOKUP(VLOOKUP($A103,Centrum!$D$3:$M$130,10,0),Centrum!$A$3:$CB$130,S$132,0))</f>
        <v/>
      </c>
      <c r="T103" s="333" t="str">
        <f>IF(OR($A103="",TYPE(VLOOKUP($A103,Centrum!$D$3:$M$130,10,0))&gt;3),"",VLOOKUP(VLOOKUP($A103,Centrum!$D$3:$M$130,10,0),Centrum!$A$3:$CB$130,T$132,0))</f>
        <v/>
      </c>
      <c r="U103" s="333" t="str">
        <f>IF(OR($A103="",TYPE(VLOOKUP($A103,Centrum!$D$3:$M$130,10,0))&gt;3),"",VLOOKUP(VLOOKUP($A103,Centrum!$D$3:$M$130,10,0),Centrum!$A$3:$CB$130,U$132,0))</f>
        <v/>
      </c>
      <c r="AB103" s="333" t="str">
        <f>IF(OR($A103="",TYPE(VLOOKUP($A103,Centrum!$D$3:$M$130,10,0))&gt;3),"",VLOOKUP(VLOOKUP($A103,Centrum!$D$3:$M$130,10,0),Centrum!$A$3:$CB$130,AB$132,0))</f>
        <v/>
      </c>
      <c r="AC103" s="333" t="str">
        <f>IF(OR($A103="",TYPE(VLOOKUP($A103,Centrum!$D$3:$M$130,10,0))&gt;3),"",VLOOKUP(VLOOKUP($A103,Centrum!$D$3:$M$130,10,0),Centrum!$A$3:$CB$130,AC$132,0))</f>
        <v/>
      </c>
      <c r="AD103" s="333" t="str">
        <f>IF(OR($A103="",TYPE(VLOOKUP($A103,Centrum!$D$3:$M$130,10,0))&gt;3),"",VLOOKUP(VLOOKUP($A103,Centrum!$D$3:$M$130,10,0),Centrum!$A$3:$CB$130,AD$132,0))</f>
        <v/>
      </c>
      <c r="AK103" s="333" t="str">
        <f>IF(OR($A103="",TYPE(VLOOKUP($A103,Centrum!$D$3:$M$130,10,0))&gt;3),"",VLOOKUP(VLOOKUP($A103,Centrum!$D$3:$M$130,10,0),Centrum!$A$3:$CB$130,AK$132,0))</f>
        <v/>
      </c>
      <c r="AL103" s="333" t="str">
        <f>IF(OR($A103="",TYPE(VLOOKUP($A103,Centrum!$D$3:$M$130,10,0))&gt;3),"",VLOOKUP(VLOOKUP($A103,Centrum!$D$3:$M$130,10,0),Centrum!$A$3:$CB$130,AL$132,0))</f>
        <v/>
      </c>
      <c r="AM103" s="333" t="str">
        <f>IF(OR($A103="",TYPE(VLOOKUP($A103,Centrum!$D$3:$M$130,10,0))&gt;3),"",VLOOKUP(VLOOKUP($A103,Centrum!$D$3:$M$130,10,0),Centrum!$A$3:$CB$130,AM$132,0))</f>
        <v/>
      </c>
      <c r="AT103" s="333" t="str">
        <f>IF(OR(OR($A103="",TYPE(VLOOKUP($A103,Centrum!$D$3:$M$130,10,0))&gt;3),$A$1&lt;4),"",VLOOKUP(VLOOKUP($A103,Centrum!$D$3:$M$130,10,0),Centrum!$A$3:$CB$130,AT$132,0))</f>
        <v/>
      </c>
      <c r="AU103" s="333" t="str">
        <f>IF(OR(OR($A103="",TYPE(VLOOKUP($A103,Centrum!$D$3:$M$130,10,0))&gt;3),$A$1&lt;4),"",VLOOKUP(VLOOKUP($A103,Centrum!$D$3:$M$130,10,0),Centrum!$A$3:$CB$130,AU$132,0))</f>
        <v/>
      </c>
      <c r="AV103" s="333" t="str">
        <f>IF(OR(OR($A103="",TYPE(VLOOKUP($A103,Centrum!$D$3:$M$130,10,0))&gt;3),$A$1&lt;4),"",VLOOKUP(VLOOKUP($A103,Centrum!$D$3:$M$130,10,0),Centrum!$A$3:$CB$130,AV$132,0))</f>
        <v/>
      </c>
      <c r="BC103" s="333" t="str">
        <f>IF(OR(OR($A103="",TYPE(VLOOKUP($A103,Centrum!$D$3:$M$130,10,0))&gt;3),$A$1&lt;5),"",VLOOKUP(VLOOKUP($A103,Centrum!$D$3:$M$130,10,0),Centrum!$A$3:$CB$130,BC$132,0))</f>
        <v/>
      </c>
      <c r="BD103" s="333" t="str">
        <f>IF(OR(OR($A103="",TYPE(VLOOKUP($A103,Centrum!$D$3:$M$130,10,0))&gt;3),$A$1&lt;5),"",VLOOKUP(VLOOKUP($A103,Centrum!$D$3:$M$130,10,0),Centrum!$A$3:$CB$130,BD$132,0))</f>
        <v/>
      </c>
      <c r="BE103" s="333" t="str">
        <f>IF(OR(OR($A103="",TYPE(VLOOKUP($A103,Centrum!$D$3:$M$130,10,0))&gt;3),$A$1&lt;5),"",VLOOKUP(VLOOKUP($A103,Centrum!$D$3:$M$130,10,0),Centrum!$A$3:$CB$130,BE$132,0))</f>
        <v/>
      </c>
      <c r="BL103" s="333" t="str">
        <f>IF(OR(OR($A103="",TYPE(VLOOKUP($A103,Centrum!$D$3:$M$130,10,0))&gt;3),$A$1&lt;6),"",VLOOKUP(VLOOKUP($A103,Centrum!$D$3:$M$130,10,0),Centrum!$A$3:$CB$130,BL$132,0))</f>
        <v/>
      </c>
      <c r="BM103" s="333" t="str">
        <f>IF(OR(OR($A103="",TYPE(VLOOKUP($A103,Centrum!$D$3:$M$130,10,0))&gt;3),$A$1&lt;6),"",VLOOKUP(VLOOKUP($A103,Centrum!$D$3:$M$130,10,0),Centrum!$A$3:$CB$130,BM$132,0))</f>
        <v/>
      </c>
      <c r="BN103" s="333" t="str">
        <f>IF(OR(OR($A103="",TYPE(VLOOKUP($A103,Centrum!$D$3:$M$130,10,0))&gt;3),$A$1&lt;6),"",VLOOKUP(VLOOKUP($A103,Centrum!$D$3:$M$130,10,0),Centrum!$A$3:$CB$130,BN$132,0))</f>
        <v/>
      </c>
    </row>
    <row r="104" spans="1:66" x14ac:dyDescent="0.25">
      <c r="A104" s="333" t="str">
        <f>Centrum!A104</f>
        <v/>
      </c>
      <c r="B104" s="439" t="str">
        <f>IF(OR($A104="",TYPE(VLOOKUP($A104,Centrum!$D$3:$M$130,10,0))&gt;3),"",VLOOKUP(VLOOKUP(A104,Centrum!$D$3:$M$130,10,0),Centrum!$A$3:$CB$130,B$132,0))</f>
        <v/>
      </c>
      <c r="C104" s="333" t="str">
        <f>IF(OR($A104="",TYPE(VLOOKUP($A104,Centrum!$D$3:$M$130,10,0))&gt;3),"",VLOOKUP($A104,Centrum!$D$3:$M$130,10,0))</f>
        <v/>
      </c>
      <c r="E104" s="333" t="str">
        <f>IF(OR($A104="",TYPE(VLOOKUP($A104,Centrum!$D$3:$M$130,10,0))&gt;3),"",VLOOKUP(VLOOKUP($A104,Centrum!$D$3:$M$130,10,0),Centrum!$A$3:$CB$130,E$132,0))</f>
        <v/>
      </c>
      <c r="F104" s="333" t="str">
        <f>IF(OR($A104="",TYPE(VLOOKUP($A104,Centrum!$D$3:$M$130,10,0))&gt;3),"",VLOOKUP(VLOOKUP($A104,Centrum!$D$3:$M$130,10,0),Centrum!$A$3:$CB$130,F$132,0))</f>
        <v/>
      </c>
      <c r="G104" s="333" t="str">
        <f>IF(OR($A104="",TYPE(VLOOKUP($A104,Centrum!$D$3:$M$130,10,0))&gt;3),"",VLOOKUP(VLOOKUP($A104,Centrum!$D$3:$M$130,10,0),Centrum!$A$3:$CB$130,G$132,0))</f>
        <v/>
      </c>
      <c r="H104" s="333" t="str">
        <f>IF($A104="","",VLOOKUP(VLOOKUP($A104,Centrum!$D$3:$M$130,10,0),Centrum!$A$3:$CB$130,H$132,0))</f>
        <v/>
      </c>
      <c r="I104" s="333" t="str">
        <f>IF($A104="","",VLOOKUP(VLOOKUP($A104,Centrum!$D$3:$M$130,10,0),Centrum!$A$3:$CB$130,I$132,0))</f>
        <v/>
      </c>
      <c r="J104" s="333" t="str">
        <f>IF(OR($A104="",TYPE(VLOOKUP($A104,Centrum!$D$3:$M$130,10,0))&gt;3),"",VLOOKUP(VLOOKUP($A104,Centrum!$D$3:$M$130,10,0),Centrum!$A$3:$CB$130,J$132,0))</f>
        <v/>
      </c>
      <c r="L104" s="333" t="str">
        <f>IF(OR($A104="",TYPE(VLOOKUP($A104,Centrum!$D$3:$M$130,10,0))&gt;3),"",VLOOKUP(VLOOKUP($A104,Centrum!$D$3:$M$130,10,0),Centrum!$A$3:$CB$130,L$132,0))</f>
        <v/>
      </c>
      <c r="M104" s="333" t="str">
        <f>IF(OR($A104="",TYPE(VLOOKUP($A104,Centrum!$D$3:$M$130,10,0))&gt;3),"",VLOOKUP(VLOOKUP($A104,Centrum!$D$3:$M$130,10,0),Centrum!$A$3:$CB$130,M$132,0))</f>
        <v/>
      </c>
      <c r="N104" s="333" t="str">
        <f>IF(OR($A104="",TYPE(VLOOKUP($A104,Centrum!$D$3:$M$130,10,0))&gt;3),"",VLOOKUP(VLOOKUP($A104,Centrum!$D$3:$M$130,10,0),Centrum!$A$3:$CB$130,N$132,0))</f>
        <v/>
      </c>
      <c r="O104" s="333" t="str">
        <f>IF(OR($A104="",TYPE(VLOOKUP($A104,Centrum!$D$3:$M$130,10,0))&gt;3),"",VLOOKUP(VLOOKUP($A104,Centrum!$D$3:$M$130,10,0),Centrum!$A$3:$CB$130,O$132,0))</f>
        <v/>
      </c>
      <c r="P104" s="333" t="str">
        <f>IF(OR($A104="",TYPE(VLOOKUP($A104,Centrum!$D$3:$M$130,10,0))&gt;3),"",VLOOKUP(VLOOKUP($A104,Centrum!$D$3:$M$130,10,0),Centrum!$A$3:$CB$130,P$132,0))</f>
        <v/>
      </c>
      <c r="Q104" s="333" t="str">
        <f>IF(OR($A104="",TYPE(VLOOKUP($A104,Centrum!$D$3:$M$130,10,0))&gt;3),"",VLOOKUP(VLOOKUP($A104,Centrum!$D$3:$M$130,10,0),Centrum!$A$3:$CB$130,Q$132,0))</f>
        <v/>
      </c>
      <c r="S104" s="333" t="str">
        <f>IF(OR($A104="",TYPE(VLOOKUP($A104,Centrum!$D$3:$M$130,10,0))&gt;3),"",VLOOKUP(VLOOKUP($A104,Centrum!$D$3:$M$130,10,0),Centrum!$A$3:$CB$130,S$132,0))</f>
        <v/>
      </c>
      <c r="T104" s="333" t="str">
        <f>IF(OR($A104="",TYPE(VLOOKUP($A104,Centrum!$D$3:$M$130,10,0))&gt;3),"",VLOOKUP(VLOOKUP($A104,Centrum!$D$3:$M$130,10,0),Centrum!$A$3:$CB$130,T$132,0))</f>
        <v/>
      </c>
      <c r="U104" s="333" t="str">
        <f>IF(OR($A104="",TYPE(VLOOKUP($A104,Centrum!$D$3:$M$130,10,0))&gt;3),"",VLOOKUP(VLOOKUP($A104,Centrum!$D$3:$M$130,10,0),Centrum!$A$3:$CB$130,U$132,0))</f>
        <v/>
      </c>
      <c r="AB104" s="333" t="str">
        <f>IF(OR($A104="",TYPE(VLOOKUP($A104,Centrum!$D$3:$M$130,10,0))&gt;3),"",VLOOKUP(VLOOKUP($A104,Centrum!$D$3:$M$130,10,0),Centrum!$A$3:$CB$130,AB$132,0))</f>
        <v/>
      </c>
      <c r="AC104" s="333" t="str">
        <f>IF(OR($A104="",TYPE(VLOOKUP($A104,Centrum!$D$3:$M$130,10,0))&gt;3),"",VLOOKUP(VLOOKUP($A104,Centrum!$D$3:$M$130,10,0),Centrum!$A$3:$CB$130,AC$132,0))</f>
        <v/>
      </c>
      <c r="AD104" s="333" t="str">
        <f>IF(OR($A104="",TYPE(VLOOKUP($A104,Centrum!$D$3:$M$130,10,0))&gt;3),"",VLOOKUP(VLOOKUP($A104,Centrum!$D$3:$M$130,10,0),Centrum!$A$3:$CB$130,AD$132,0))</f>
        <v/>
      </c>
      <c r="AK104" s="333" t="str">
        <f>IF(OR($A104="",TYPE(VLOOKUP($A104,Centrum!$D$3:$M$130,10,0))&gt;3),"",VLOOKUP(VLOOKUP($A104,Centrum!$D$3:$M$130,10,0),Centrum!$A$3:$CB$130,AK$132,0))</f>
        <v/>
      </c>
      <c r="AL104" s="333" t="str">
        <f>IF(OR($A104="",TYPE(VLOOKUP($A104,Centrum!$D$3:$M$130,10,0))&gt;3),"",VLOOKUP(VLOOKUP($A104,Centrum!$D$3:$M$130,10,0),Centrum!$A$3:$CB$130,AL$132,0))</f>
        <v/>
      </c>
      <c r="AM104" s="333" t="str">
        <f>IF(OR($A104="",TYPE(VLOOKUP($A104,Centrum!$D$3:$M$130,10,0))&gt;3),"",VLOOKUP(VLOOKUP($A104,Centrum!$D$3:$M$130,10,0),Centrum!$A$3:$CB$130,AM$132,0))</f>
        <v/>
      </c>
      <c r="AT104" s="333" t="str">
        <f>IF(OR(OR($A104="",TYPE(VLOOKUP($A104,Centrum!$D$3:$M$130,10,0))&gt;3),$A$1&lt;4),"",VLOOKUP(VLOOKUP($A104,Centrum!$D$3:$M$130,10,0),Centrum!$A$3:$CB$130,AT$132,0))</f>
        <v/>
      </c>
      <c r="AU104" s="333" t="str">
        <f>IF(OR(OR($A104="",TYPE(VLOOKUP($A104,Centrum!$D$3:$M$130,10,0))&gt;3),$A$1&lt;4),"",VLOOKUP(VLOOKUP($A104,Centrum!$D$3:$M$130,10,0),Centrum!$A$3:$CB$130,AU$132,0))</f>
        <v/>
      </c>
      <c r="AV104" s="333" t="str">
        <f>IF(OR(OR($A104="",TYPE(VLOOKUP($A104,Centrum!$D$3:$M$130,10,0))&gt;3),$A$1&lt;4),"",VLOOKUP(VLOOKUP($A104,Centrum!$D$3:$M$130,10,0),Centrum!$A$3:$CB$130,AV$132,0))</f>
        <v/>
      </c>
      <c r="BC104" s="333" t="str">
        <f>IF(OR(OR($A104="",TYPE(VLOOKUP($A104,Centrum!$D$3:$M$130,10,0))&gt;3),$A$1&lt;5),"",VLOOKUP(VLOOKUP($A104,Centrum!$D$3:$M$130,10,0),Centrum!$A$3:$CB$130,BC$132,0))</f>
        <v/>
      </c>
      <c r="BD104" s="333" t="str">
        <f>IF(OR(OR($A104="",TYPE(VLOOKUP($A104,Centrum!$D$3:$M$130,10,0))&gt;3),$A$1&lt;5),"",VLOOKUP(VLOOKUP($A104,Centrum!$D$3:$M$130,10,0),Centrum!$A$3:$CB$130,BD$132,0))</f>
        <v/>
      </c>
      <c r="BE104" s="333" t="str">
        <f>IF(OR(OR($A104="",TYPE(VLOOKUP($A104,Centrum!$D$3:$M$130,10,0))&gt;3),$A$1&lt;5),"",VLOOKUP(VLOOKUP($A104,Centrum!$D$3:$M$130,10,0),Centrum!$A$3:$CB$130,BE$132,0))</f>
        <v/>
      </c>
      <c r="BL104" s="333" t="str">
        <f>IF(OR(OR($A104="",TYPE(VLOOKUP($A104,Centrum!$D$3:$M$130,10,0))&gt;3),$A$1&lt;6),"",VLOOKUP(VLOOKUP($A104,Centrum!$D$3:$M$130,10,0),Centrum!$A$3:$CB$130,BL$132,0))</f>
        <v/>
      </c>
      <c r="BM104" s="333" t="str">
        <f>IF(OR(OR($A104="",TYPE(VLOOKUP($A104,Centrum!$D$3:$M$130,10,0))&gt;3),$A$1&lt;6),"",VLOOKUP(VLOOKUP($A104,Centrum!$D$3:$M$130,10,0),Centrum!$A$3:$CB$130,BM$132,0))</f>
        <v/>
      </c>
      <c r="BN104" s="333" t="str">
        <f>IF(OR(OR($A104="",TYPE(VLOOKUP($A104,Centrum!$D$3:$M$130,10,0))&gt;3),$A$1&lt;6),"",VLOOKUP(VLOOKUP($A104,Centrum!$D$3:$M$130,10,0),Centrum!$A$3:$CB$130,BN$132,0))</f>
        <v/>
      </c>
    </row>
    <row r="105" spans="1:66" x14ac:dyDescent="0.25">
      <c r="A105" s="333" t="str">
        <f>Centrum!A105</f>
        <v/>
      </c>
      <c r="B105" s="439" t="str">
        <f>IF(OR($A105="",TYPE(VLOOKUP($A105,Centrum!$D$3:$M$130,10,0))&gt;3),"",VLOOKUP(VLOOKUP(A105,Centrum!$D$3:$M$130,10,0),Centrum!$A$3:$CB$130,B$132,0))</f>
        <v/>
      </c>
      <c r="C105" s="333" t="str">
        <f>IF(OR($A105="",TYPE(VLOOKUP($A105,Centrum!$D$3:$M$130,10,0))&gt;3),"",VLOOKUP($A105,Centrum!$D$3:$M$130,10,0))</f>
        <v/>
      </c>
      <c r="E105" s="333" t="str">
        <f>IF(OR($A105="",TYPE(VLOOKUP($A105,Centrum!$D$3:$M$130,10,0))&gt;3),"",VLOOKUP(VLOOKUP($A105,Centrum!$D$3:$M$130,10,0),Centrum!$A$3:$CB$130,E$132,0))</f>
        <v/>
      </c>
      <c r="F105" s="333" t="str">
        <f>IF(OR($A105="",TYPE(VLOOKUP($A105,Centrum!$D$3:$M$130,10,0))&gt;3),"",VLOOKUP(VLOOKUP($A105,Centrum!$D$3:$M$130,10,0),Centrum!$A$3:$CB$130,F$132,0))</f>
        <v/>
      </c>
      <c r="G105" s="333" t="str">
        <f>IF(OR($A105="",TYPE(VLOOKUP($A105,Centrum!$D$3:$M$130,10,0))&gt;3),"",VLOOKUP(VLOOKUP($A105,Centrum!$D$3:$M$130,10,0),Centrum!$A$3:$CB$130,G$132,0))</f>
        <v/>
      </c>
      <c r="H105" s="333" t="str">
        <f>IF($A105="","",VLOOKUP(VLOOKUP($A105,Centrum!$D$3:$M$130,10,0),Centrum!$A$3:$CB$130,H$132,0))</f>
        <v/>
      </c>
      <c r="I105" s="333" t="str">
        <f>IF($A105="","",VLOOKUP(VLOOKUP($A105,Centrum!$D$3:$M$130,10,0),Centrum!$A$3:$CB$130,I$132,0))</f>
        <v/>
      </c>
      <c r="J105" s="333" t="str">
        <f>IF(OR($A105="",TYPE(VLOOKUP($A105,Centrum!$D$3:$M$130,10,0))&gt;3),"",VLOOKUP(VLOOKUP($A105,Centrum!$D$3:$M$130,10,0),Centrum!$A$3:$CB$130,J$132,0))</f>
        <v/>
      </c>
      <c r="L105" s="333" t="str">
        <f>IF(OR($A105="",TYPE(VLOOKUP($A105,Centrum!$D$3:$M$130,10,0))&gt;3),"",VLOOKUP(VLOOKUP($A105,Centrum!$D$3:$M$130,10,0),Centrum!$A$3:$CB$130,L$132,0))</f>
        <v/>
      </c>
      <c r="M105" s="333" t="str">
        <f>IF(OR($A105="",TYPE(VLOOKUP($A105,Centrum!$D$3:$M$130,10,0))&gt;3),"",VLOOKUP(VLOOKUP($A105,Centrum!$D$3:$M$130,10,0),Centrum!$A$3:$CB$130,M$132,0))</f>
        <v/>
      </c>
      <c r="N105" s="333" t="str">
        <f>IF(OR($A105="",TYPE(VLOOKUP($A105,Centrum!$D$3:$M$130,10,0))&gt;3),"",VLOOKUP(VLOOKUP($A105,Centrum!$D$3:$M$130,10,0),Centrum!$A$3:$CB$130,N$132,0))</f>
        <v/>
      </c>
      <c r="O105" s="333" t="str">
        <f>IF(OR($A105="",TYPE(VLOOKUP($A105,Centrum!$D$3:$M$130,10,0))&gt;3),"",VLOOKUP(VLOOKUP($A105,Centrum!$D$3:$M$130,10,0),Centrum!$A$3:$CB$130,O$132,0))</f>
        <v/>
      </c>
      <c r="P105" s="333" t="str">
        <f>IF(OR($A105="",TYPE(VLOOKUP($A105,Centrum!$D$3:$M$130,10,0))&gt;3),"",VLOOKUP(VLOOKUP($A105,Centrum!$D$3:$M$130,10,0),Centrum!$A$3:$CB$130,P$132,0))</f>
        <v/>
      </c>
      <c r="Q105" s="333" t="str">
        <f>IF(OR($A105="",TYPE(VLOOKUP($A105,Centrum!$D$3:$M$130,10,0))&gt;3),"",VLOOKUP(VLOOKUP($A105,Centrum!$D$3:$M$130,10,0),Centrum!$A$3:$CB$130,Q$132,0))</f>
        <v/>
      </c>
      <c r="S105" s="333" t="str">
        <f>IF(OR($A105="",TYPE(VLOOKUP($A105,Centrum!$D$3:$M$130,10,0))&gt;3),"",VLOOKUP(VLOOKUP($A105,Centrum!$D$3:$M$130,10,0),Centrum!$A$3:$CB$130,S$132,0))</f>
        <v/>
      </c>
      <c r="T105" s="333" t="str">
        <f>IF(OR($A105="",TYPE(VLOOKUP($A105,Centrum!$D$3:$M$130,10,0))&gt;3),"",VLOOKUP(VLOOKUP($A105,Centrum!$D$3:$M$130,10,0),Centrum!$A$3:$CB$130,T$132,0))</f>
        <v/>
      </c>
      <c r="U105" s="333" t="str">
        <f>IF(OR($A105="",TYPE(VLOOKUP($A105,Centrum!$D$3:$M$130,10,0))&gt;3),"",VLOOKUP(VLOOKUP($A105,Centrum!$D$3:$M$130,10,0),Centrum!$A$3:$CB$130,U$132,0))</f>
        <v/>
      </c>
      <c r="AB105" s="333" t="str">
        <f>IF(OR($A105="",TYPE(VLOOKUP($A105,Centrum!$D$3:$M$130,10,0))&gt;3),"",VLOOKUP(VLOOKUP($A105,Centrum!$D$3:$M$130,10,0),Centrum!$A$3:$CB$130,AB$132,0))</f>
        <v/>
      </c>
      <c r="AC105" s="333" t="str">
        <f>IF(OR($A105="",TYPE(VLOOKUP($A105,Centrum!$D$3:$M$130,10,0))&gt;3),"",VLOOKUP(VLOOKUP($A105,Centrum!$D$3:$M$130,10,0),Centrum!$A$3:$CB$130,AC$132,0))</f>
        <v/>
      </c>
      <c r="AD105" s="333" t="str">
        <f>IF(OR($A105="",TYPE(VLOOKUP($A105,Centrum!$D$3:$M$130,10,0))&gt;3),"",VLOOKUP(VLOOKUP($A105,Centrum!$D$3:$M$130,10,0),Centrum!$A$3:$CB$130,AD$132,0))</f>
        <v/>
      </c>
      <c r="AK105" s="333" t="str">
        <f>IF(OR($A105="",TYPE(VLOOKUP($A105,Centrum!$D$3:$M$130,10,0))&gt;3),"",VLOOKUP(VLOOKUP($A105,Centrum!$D$3:$M$130,10,0),Centrum!$A$3:$CB$130,AK$132,0))</f>
        <v/>
      </c>
      <c r="AL105" s="333" t="str">
        <f>IF(OR($A105="",TYPE(VLOOKUP($A105,Centrum!$D$3:$M$130,10,0))&gt;3),"",VLOOKUP(VLOOKUP($A105,Centrum!$D$3:$M$130,10,0),Centrum!$A$3:$CB$130,AL$132,0))</f>
        <v/>
      </c>
      <c r="AM105" s="333" t="str">
        <f>IF(OR($A105="",TYPE(VLOOKUP($A105,Centrum!$D$3:$M$130,10,0))&gt;3),"",VLOOKUP(VLOOKUP($A105,Centrum!$D$3:$M$130,10,0),Centrum!$A$3:$CB$130,AM$132,0))</f>
        <v/>
      </c>
      <c r="AT105" s="333" t="str">
        <f>IF(OR(OR($A105="",TYPE(VLOOKUP($A105,Centrum!$D$3:$M$130,10,0))&gt;3),$A$1&lt;4),"",VLOOKUP(VLOOKUP($A105,Centrum!$D$3:$M$130,10,0),Centrum!$A$3:$CB$130,AT$132,0))</f>
        <v/>
      </c>
      <c r="AU105" s="333" t="str">
        <f>IF(OR(OR($A105="",TYPE(VLOOKUP($A105,Centrum!$D$3:$M$130,10,0))&gt;3),$A$1&lt;4),"",VLOOKUP(VLOOKUP($A105,Centrum!$D$3:$M$130,10,0),Centrum!$A$3:$CB$130,AU$132,0))</f>
        <v/>
      </c>
      <c r="AV105" s="333" t="str">
        <f>IF(OR(OR($A105="",TYPE(VLOOKUP($A105,Centrum!$D$3:$M$130,10,0))&gt;3),$A$1&lt;4),"",VLOOKUP(VLOOKUP($A105,Centrum!$D$3:$M$130,10,0),Centrum!$A$3:$CB$130,AV$132,0))</f>
        <v/>
      </c>
      <c r="BC105" s="333" t="str">
        <f>IF(OR(OR($A105="",TYPE(VLOOKUP($A105,Centrum!$D$3:$M$130,10,0))&gt;3),$A$1&lt;5),"",VLOOKUP(VLOOKUP($A105,Centrum!$D$3:$M$130,10,0),Centrum!$A$3:$CB$130,BC$132,0))</f>
        <v/>
      </c>
      <c r="BD105" s="333" t="str">
        <f>IF(OR(OR($A105="",TYPE(VLOOKUP($A105,Centrum!$D$3:$M$130,10,0))&gt;3),$A$1&lt;5),"",VLOOKUP(VLOOKUP($A105,Centrum!$D$3:$M$130,10,0),Centrum!$A$3:$CB$130,BD$132,0))</f>
        <v/>
      </c>
      <c r="BE105" s="333" t="str">
        <f>IF(OR(OR($A105="",TYPE(VLOOKUP($A105,Centrum!$D$3:$M$130,10,0))&gt;3),$A$1&lt;5),"",VLOOKUP(VLOOKUP($A105,Centrum!$D$3:$M$130,10,0),Centrum!$A$3:$CB$130,BE$132,0))</f>
        <v/>
      </c>
      <c r="BL105" s="333" t="str">
        <f>IF(OR(OR($A105="",TYPE(VLOOKUP($A105,Centrum!$D$3:$M$130,10,0))&gt;3),$A$1&lt;6),"",VLOOKUP(VLOOKUP($A105,Centrum!$D$3:$M$130,10,0),Centrum!$A$3:$CB$130,BL$132,0))</f>
        <v/>
      </c>
      <c r="BM105" s="333" t="str">
        <f>IF(OR(OR($A105="",TYPE(VLOOKUP($A105,Centrum!$D$3:$M$130,10,0))&gt;3),$A$1&lt;6),"",VLOOKUP(VLOOKUP($A105,Centrum!$D$3:$M$130,10,0),Centrum!$A$3:$CB$130,BM$132,0))</f>
        <v/>
      </c>
      <c r="BN105" s="333" t="str">
        <f>IF(OR(OR($A105="",TYPE(VLOOKUP($A105,Centrum!$D$3:$M$130,10,0))&gt;3),$A$1&lt;6),"",VLOOKUP(VLOOKUP($A105,Centrum!$D$3:$M$130,10,0),Centrum!$A$3:$CB$130,BN$132,0))</f>
        <v/>
      </c>
    </row>
    <row r="106" spans="1:66" x14ac:dyDescent="0.25">
      <c r="A106" s="333" t="str">
        <f>Centrum!A106</f>
        <v/>
      </c>
      <c r="B106" s="439" t="str">
        <f>IF(OR($A106="",TYPE(VLOOKUP($A106,Centrum!$D$3:$M$130,10,0))&gt;3),"",VLOOKUP(VLOOKUP(A106,Centrum!$D$3:$M$130,10,0),Centrum!$A$3:$CB$130,B$132,0))</f>
        <v/>
      </c>
      <c r="C106" s="333" t="str">
        <f>IF(OR($A106="",TYPE(VLOOKUP($A106,Centrum!$D$3:$M$130,10,0))&gt;3),"",VLOOKUP($A106,Centrum!$D$3:$M$130,10,0))</f>
        <v/>
      </c>
      <c r="E106" s="333" t="str">
        <f>IF(OR($A106="",TYPE(VLOOKUP($A106,Centrum!$D$3:$M$130,10,0))&gt;3),"",VLOOKUP(VLOOKUP($A106,Centrum!$D$3:$M$130,10,0),Centrum!$A$3:$CB$130,E$132,0))</f>
        <v/>
      </c>
      <c r="F106" s="333" t="str">
        <f>IF(OR($A106="",TYPE(VLOOKUP($A106,Centrum!$D$3:$M$130,10,0))&gt;3),"",VLOOKUP(VLOOKUP($A106,Centrum!$D$3:$M$130,10,0),Centrum!$A$3:$CB$130,F$132,0))</f>
        <v/>
      </c>
      <c r="G106" s="333" t="str">
        <f>IF(OR($A106="",TYPE(VLOOKUP($A106,Centrum!$D$3:$M$130,10,0))&gt;3),"",VLOOKUP(VLOOKUP($A106,Centrum!$D$3:$M$130,10,0),Centrum!$A$3:$CB$130,G$132,0))</f>
        <v/>
      </c>
      <c r="H106" s="333" t="str">
        <f>IF($A106="","",VLOOKUP(VLOOKUP($A106,Centrum!$D$3:$M$130,10,0),Centrum!$A$3:$CB$130,H$132,0))</f>
        <v/>
      </c>
      <c r="I106" s="333" t="str">
        <f>IF($A106="","",VLOOKUP(VLOOKUP($A106,Centrum!$D$3:$M$130,10,0),Centrum!$A$3:$CB$130,I$132,0))</f>
        <v/>
      </c>
      <c r="J106" s="333" t="str">
        <f>IF(OR($A106="",TYPE(VLOOKUP($A106,Centrum!$D$3:$M$130,10,0))&gt;3),"",VLOOKUP(VLOOKUP($A106,Centrum!$D$3:$M$130,10,0),Centrum!$A$3:$CB$130,J$132,0))</f>
        <v/>
      </c>
      <c r="L106" s="333" t="str">
        <f>IF(OR($A106="",TYPE(VLOOKUP($A106,Centrum!$D$3:$M$130,10,0))&gt;3),"",VLOOKUP(VLOOKUP($A106,Centrum!$D$3:$M$130,10,0),Centrum!$A$3:$CB$130,L$132,0))</f>
        <v/>
      </c>
      <c r="M106" s="333" t="str">
        <f>IF(OR($A106="",TYPE(VLOOKUP($A106,Centrum!$D$3:$M$130,10,0))&gt;3),"",VLOOKUP(VLOOKUP($A106,Centrum!$D$3:$M$130,10,0),Centrum!$A$3:$CB$130,M$132,0))</f>
        <v/>
      </c>
      <c r="N106" s="333" t="str">
        <f>IF(OR($A106="",TYPE(VLOOKUP($A106,Centrum!$D$3:$M$130,10,0))&gt;3),"",VLOOKUP(VLOOKUP($A106,Centrum!$D$3:$M$130,10,0),Centrum!$A$3:$CB$130,N$132,0))</f>
        <v/>
      </c>
      <c r="O106" s="333" t="str">
        <f>IF(OR($A106="",TYPE(VLOOKUP($A106,Centrum!$D$3:$M$130,10,0))&gt;3),"",VLOOKUP(VLOOKUP($A106,Centrum!$D$3:$M$130,10,0),Centrum!$A$3:$CB$130,O$132,0))</f>
        <v/>
      </c>
      <c r="P106" s="333" t="str">
        <f>IF(OR($A106="",TYPE(VLOOKUP($A106,Centrum!$D$3:$M$130,10,0))&gt;3),"",VLOOKUP(VLOOKUP($A106,Centrum!$D$3:$M$130,10,0),Centrum!$A$3:$CB$130,P$132,0))</f>
        <v/>
      </c>
      <c r="Q106" s="333" t="str">
        <f>IF(OR($A106="",TYPE(VLOOKUP($A106,Centrum!$D$3:$M$130,10,0))&gt;3),"",VLOOKUP(VLOOKUP($A106,Centrum!$D$3:$M$130,10,0),Centrum!$A$3:$CB$130,Q$132,0))</f>
        <v/>
      </c>
      <c r="S106" s="333" t="str">
        <f>IF(OR($A106="",TYPE(VLOOKUP($A106,Centrum!$D$3:$M$130,10,0))&gt;3),"",VLOOKUP(VLOOKUP($A106,Centrum!$D$3:$M$130,10,0),Centrum!$A$3:$CB$130,S$132,0))</f>
        <v/>
      </c>
      <c r="T106" s="333" t="str">
        <f>IF(OR($A106="",TYPE(VLOOKUP($A106,Centrum!$D$3:$M$130,10,0))&gt;3),"",VLOOKUP(VLOOKUP($A106,Centrum!$D$3:$M$130,10,0),Centrum!$A$3:$CB$130,T$132,0))</f>
        <v/>
      </c>
      <c r="U106" s="333" t="str">
        <f>IF(OR($A106="",TYPE(VLOOKUP($A106,Centrum!$D$3:$M$130,10,0))&gt;3),"",VLOOKUP(VLOOKUP($A106,Centrum!$D$3:$M$130,10,0),Centrum!$A$3:$CB$130,U$132,0))</f>
        <v/>
      </c>
      <c r="AB106" s="333" t="str">
        <f>IF(OR($A106="",TYPE(VLOOKUP($A106,Centrum!$D$3:$M$130,10,0))&gt;3),"",VLOOKUP(VLOOKUP($A106,Centrum!$D$3:$M$130,10,0),Centrum!$A$3:$CB$130,AB$132,0))</f>
        <v/>
      </c>
      <c r="AC106" s="333" t="str">
        <f>IF(OR($A106="",TYPE(VLOOKUP($A106,Centrum!$D$3:$M$130,10,0))&gt;3),"",VLOOKUP(VLOOKUP($A106,Centrum!$D$3:$M$130,10,0),Centrum!$A$3:$CB$130,AC$132,0))</f>
        <v/>
      </c>
      <c r="AD106" s="333" t="str">
        <f>IF(OR($A106="",TYPE(VLOOKUP($A106,Centrum!$D$3:$M$130,10,0))&gt;3),"",VLOOKUP(VLOOKUP($A106,Centrum!$D$3:$M$130,10,0),Centrum!$A$3:$CB$130,AD$132,0))</f>
        <v/>
      </c>
      <c r="AK106" s="333" t="str">
        <f>IF(OR($A106="",TYPE(VLOOKUP($A106,Centrum!$D$3:$M$130,10,0))&gt;3),"",VLOOKUP(VLOOKUP($A106,Centrum!$D$3:$M$130,10,0),Centrum!$A$3:$CB$130,AK$132,0))</f>
        <v/>
      </c>
      <c r="AL106" s="333" t="str">
        <f>IF(OR($A106="",TYPE(VLOOKUP($A106,Centrum!$D$3:$M$130,10,0))&gt;3),"",VLOOKUP(VLOOKUP($A106,Centrum!$D$3:$M$130,10,0),Centrum!$A$3:$CB$130,AL$132,0))</f>
        <v/>
      </c>
      <c r="AM106" s="333" t="str">
        <f>IF(OR($A106="",TYPE(VLOOKUP($A106,Centrum!$D$3:$M$130,10,0))&gt;3),"",VLOOKUP(VLOOKUP($A106,Centrum!$D$3:$M$130,10,0),Centrum!$A$3:$CB$130,AM$132,0))</f>
        <v/>
      </c>
      <c r="AT106" s="333" t="str">
        <f>IF(OR(OR($A106="",TYPE(VLOOKUP($A106,Centrum!$D$3:$M$130,10,0))&gt;3),$A$1&lt;4),"",VLOOKUP(VLOOKUP($A106,Centrum!$D$3:$M$130,10,0),Centrum!$A$3:$CB$130,AT$132,0))</f>
        <v/>
      </c>
      <c r="AU106" s="333" t="str">
        <f>IF(OR(OR($A106="",TYPE(VLOOKUP($A106,Centrum!$D$3:$M$130,10,0))&gt;3),$A$1&lt;4),"",VLOOKUP(VLOOKUP($A106,Centrum!$D$3:$M$130,10,0),Centrum!$A$3:$CB$130,AU$132,0))</f>
        <v/>
      </c>
      <c r="AV106" s="333" t="str">
        <f>IF(OR(OR($A106="",TYPE(VLOOKUP($A106,Centrum!$D$3:$M$130,10,0))&gt;3),$A$1&lt;4),"",VLOOKUP(VLOOKUP($A106,Centrum!$D$3:$M$130,10,0),Centrum!$A$3:$CB$130,AV$132,0))</f>
        <v/>
      </c>
      <c r="BC106" s="333" t="str">
        <f>IF(OR(OR($A106="",TYPE(VLOOKUP($A106,Centrum!$D$3:$M$130,10,0))&gt;3),$A$1&lt;5),"",VLOOKUP(VLOOKUP($A106,Centrum!$D$3:$M$130,10,0),Centrum!$A$3:$CB$130,BC$132,0))</f>
        <v/>
      </c>
      <c r="BD106" s="333" t="str">
        <f>IF(OR(OR($A106="",TYPE(VLOOKUP($A106,Centrum!$D$3:$M$130,10,0))&gt;3),$A$1&lt;5),"",VLOOKUP(VLOOKUP($A106,Centrum!$D$3:$M$130,10,0),Centrum!$A$3:$CB$130,BD$132,0))</f>
        <v/>
      </c>
      <c r="BE106" s="333" t="str">
        <f>IF(OR(OR($A106="",TYPE(VLOOKUP($A106,Centrum!$D$3:$M$130,10,0))&gt;3),$A$1&lt;5),"",VLOOKUP(VLOOKUP($A106,Centrum!$D$3:$M$130,10,0),Centrum!$A$3:$CB$130,BE$132,0))</f>
        <v/>
      </c>
      <c r="BL106" s="333" t="str">
        <f>IF(OR(OR($A106="",TYPE(VLOOKUP($A106,Centrum!$D$3:$M$130,10,0))&gt;3),$A$1&lt;6),"",VLOOKUP(VLOOKUP($A106,Centrum!$D$3:$M$130,10,0),Centrum!$A$3:$CB$130,BL$132,0))</f>
        <v/>
      </c>
      <c r="BM106" s="333" t="str">
        <f>IF(OR(OR($A106="",TYPE(VLOOKUP($A106,Centrum!$D$3:$M$130,10,0))&gt;3),$A$1&lt;6),"",VLOOKUP(VLOOKUP($A106,Centrum!$D$3:$M$130,10,0),Centrum!$A$3:$CB$130,BM$132,0))</f>
        <v/>
      </c>
      <c r="BN106" s="333" t="str">
        <f>IF(OR(OR($A106="",TYPE(VLOOKUP($A106,Centrum!$D$3:$M$130,10,0))&gt;3),$A$1&lt;6),"",VLOOKUP(VLOOKUP($A106,Centrum!$D$3:$M$130,10,0),Centrum!$A$3:$CB$130,BN$132,0))</f>
        <v/>
      </c>
    </row>
    <row r="107" spans="1:66" x14ac:dyDescent="0.25">
      <c r="A107" s="333" t="str">
        <f>Centrum!A107</f>
        <v/>
      </c>
      <c r="B107" s="439" t="str">
        <f>IF(OR($A107="",TYPE(VLOOKUP($A107,Centrum!$D$3:$M$130,10,0))&gt;3),"",VLOOKUP(VLOOKUP(A107,Centrum!$D$3:$M$130,10,0),Centrum!$A$3:$CB$130,B$132,0))</f>
        <v/>
      </c>
      <c r="C107" s="333" t="str">
        <f>IF(OR($A107="",TYPE(VLOOKUP($A107,Centrum!$D$3:$M$130,10,0))&gt;3),"",VLOOKUP($A107,Centrum!$D$3:$M$130,10,0))</f>
        <v/>
      </c>
      <c r="E107" s="333" t="str">
        <f>IF(OR($A107="",TYPE(VLOOKUP($A107,Centrum!$D$3:$M$130,10,0))&gt;3),"",VLOOKUP(VLOOKUP($A107,Centrum!$D$3:$M$130,10,0),Centrum!$A$3:$CB$130,E$132,0))</f>
        <v/>
      </c>
      <c r="F107" s="333" t="str">
        <f>IF(OR($A107="",TYPE(VLOOKUP($A107,Centrum!$D$3:$M$130,10,0))&gt;3),"",VLOOKUP(VLOOKUP($A107,Centrum!$D$3:$M$130,10,0),Centrum!$A$3:$CB$130,F$132,0))</f>
        <v/>
      </c>
      <c r="G107" s="333" t="str">
        <f>IF(OR($A107="",TYPE(VLOOKUP($A107,Centrum!$D$3:$M$130,10,0))&gt;3),"",VLOOKUP(VLOOKUP($A107,Centrum!$D$3:$M$130,10,0),Centrum!$A$3:$CB$130,G$132,0))</f>
        <v/>
      </c>
      <c r="H107" s="333" t="str">
        <f>IF($A107="","",VLOOKUP(VLOOKUP($A107,Centrum!$D$3:$M$130,10,0),Centrum!$A$3:$CB$130,H$132,0))</f>
        <v/>
      </c>
      <c r="I107" s="333" t="str">
        <f>IF($A107="","",VLOOKUP(VLOOKUP($A107,Centrum!$D$3:$M$130,10,0),Centrum!$A$3:$CB$130,I$132,0))</f>
        <v/>
      </c>
      <c r="J107" s="333" t="str">
        <f>IF(OR($A107="",TYPE(VLOOKUP($A107,Centrum!$D$3:$M$130,10,0))&gt;3),"",VLOOKUP(VLOOKUP($A107,Centrum!$D$3:$M$130,10,0),Centrum!$A$3:$CB$130,J$132,0))</f>
        <v/>
      </c>
      <c r="L107" s="333" t="str">
        <f>IF(OR($A107="",TYPE(VLOOKUP($A107,Centrum!$D$3:$M$130,10,0))&gt;3),"",VLOOKUP(VLOOKUP($A107,Centrum!$D$3:$M$130,10,0),Centrum!$A$3:$CB$130,L$132,0))</f>
        <v/>
      </c>
      <c r="M107" s="333" t="str">
        <f>IF(OR($A107="",TYPE(VLOOKUP($A107,Centrum!$D$3:$M$130,10,0))&gt;3),"",VLOOKUP(VLOOKUP($A107,Centrum!$D$3:$M$130,10,0),Centrum!$A$3:$CB$130,M$132,0))</f>
        <v/>
      </c>
      <c r="N107" s="333" t="str">
        <f>IF(OR($A107="",TYPE(VLOOKUP($A107,Centrum!$D$3:$M$130,10,0))&gt;3),"",VLOOKUP(VLOOKUP($A107,Centrum!$D$3:$M$130,10,0),Centrum!$A$3:$CB$130,N$132,0))</f>
        <v/>
      </c>
      <c r="O107" s="333" t="str">
        <f>IF(OR($A107="",TYPE(VLOOKUP($A107,Centrum!$D$3:$M$130,10,0))&gt;3),"",VLOOKUP(VLOOKUP($A107,Centrum!$D$3:$M$130,10,0),Centrum!$A$3:$CB$130,O$132,0))</f>
        <v/>
      </c>
      <c r="P107" s="333" t="str">
        <f>IF(OR($A107="",TYPE(VLOOKUP($A107,Centrum!$D$3:$M$130,10,0))&gt;3),"",VLOOKUP(VLOOKUP($A107,Centrum!$D$3:$M$130,10,0),Centrum!$A$3:$CB$130,P$132,0))</f>
        <v/>
      </c>
      <c r="Q107" s="333" t="str">
        <f>IF(OR($A107="",TYPE(VLOOKUP($A107,Centrum!$D$3:$M$130,10,0))&gt;3),"",VLOOKUP(VLOOKUP($A107,Centrum!$D$3:$M$130,10,0),Centrum!$A$3:$CB$130,Q$132,0))</f>
        <v/>
      </c>
      <c r="S107" s="333" t="str">
        <f>IF(OR($A107="",TYPE(VLOOKUP($A107,Centrum!$D$3:$M$130,10,0))&gt;3),"",VLOOKUP(VLOOKUP($A107,Centrum!$D$3:$M$130,10,0),Centrum!$A$3:$CB$130,S$132,0))</f>
        <v/>
      </c>
      <c r="T107" s="333" t="str">
        <f>IF(OR($A107="",TYPE(VLOOKUP($A107,Centrum!$D$3:$M$130,10,0))&gt;3),"",VLOOKUP(VLOOKUP($A107,Centrum!$D$3:$M$130,10,0),Centrum!$A$3:$CB$130,T$132,0))</f>
        <v/>
      </c>
      <c r="U107" s="333" t="str">
        <f>IF(OR($A107="",TYPE(VLOOKUP($A107,Centrum!$D$3:$M$130,10,0))&gt;3),"",VLOOKUP(VLOOKUP($A107,Centrum!$D$3:$M$130,10,0),Centrum!$A$3:$CB$130,U$132,0))</f>
        <v/>
      </c>
      <c r="AB107" s="333" t="str">
        <f>IF(OR($A107="",TYPE(VLOOKUP($A107,Centrum!$D$3:$M$130,10,0))&gt;3),"",VLOOKUP(VLOOKUP($A107,Centrum!$D$3:$M$130,10,0),Centrum!$A$3:$CB$130,AB$132,0))</f>
        <v/>
      </c>
      <c r="AC107" s="333" t="str">
        <f>IF(OR($A107="",TYPE(VLOOKUP($A107,Centrum!$D$3:$M$130,10,0))&gt;3),"",VLOOKUP(VLOOKUP($A107,Centrum!$D$3:$M$130,10,0),Centrum!$A$3:$CB$130,AC$132,0))</f>
        <v/>
      </c>
      <c r="AD107" s="333" t="str">
        <f>IF(OR($A107="",TYPE(VLOOKUP($A107,Centrum!$D$3:$M$130,10,0))&gt;3),"",VLOOKUP(VLOOKUP($A107,Centrum!$D$3:$M$130,10,0),Centrum!$A$3:$CB$130,AD$132,0))</f>
        <v/>
      </c>
      <c r="AK107" s="333" t="str">
        <f>IF(OR($A107="",TYPE(VLOOKUP($A107,Centrum!$D$3:$M$130,10,0))&gt;3),"",VLOOKUP(VLOOKUP($A107,Centrum!$D$3:$M$130,10,0),Centrum!$A$3:$CB$130,AK$132,0))</f>
        <v/>
      </c>
      <c r="AL107" s="333" t="str">
        <f>IF(OR($A107="",TYPE(VLOOKUP($A107,Centrum!$D$3:$M$130,10,0))&gt;3),"",VLOOKUP(VLOOKUP($A107,Centrum!$D$3:$M$130,10,0),Centrum!$A$3:$CB$130,AL$132,0))</f>
        <v/>
      </c>
      <c r="AM107" s="333" t="str">
        <f>IF(OR($A107="",TYPE(VLOOKUP($A107,Centrum!$D$3:$M$130,10,0))&gt;3),"",VLOOKUP(VLOOKUP($A107,Centrum!$D$3:$M$130,10,0),Centrum!$A$3:$CB$130,AM$132,0))</f>
        <v/>
      </c>
      <c r="AT107" s="333" t="str">
        <f>IF(OR(OR($A107="",TYPE(VLOOKUP($A107,Centrum!$D$3:$M$130,10,0))&gt;3),$A$1&lt;4),"",VLOOKUP(VLOOKUP($A107,Centrum!$D$3:$M$130,10,0),Centrum!$A$3:$CB$130,AT$132,0))</f>
        <v/>
      </c>
      <c r="AU107" s="333" t="str">
        <f>IF(OR(OR($A107="",TYPE(VLOOKUP($A107,Centrum!$D$3:$M$130,10,0))&gt;3),$A$1&lt;4),"",VLOOKUP(VLOOKUP($A107,Centrum!$D$3:$M$130,10,0),Centrum!$A$3:$CB$130,AU$132,0))</f>
        <v/>
      </c>
      <c r="AV107" s="333" t="str">
        <f>IF(OR(OR($A107="",TYPE(VLOOKUP($A107,Centrum!$D$3:$M$130,10,0))&gt;3),$A$1&lt;4),"",VLOOKUP(VLOOKUP($A107,Centrum!$D$3:$M$130,10,0),Centrum!$A$3:$CB$130,AV$132,0))</f>
        <v/>
      </c>
      <c r="BC107" s="333" t="str">
        <f>IF(OR(OR($A107="",TYPE(VLOOKUP($A107,Centrum!$D$3:$M$130,10,0))&gt;3),$A$1&lt;5),"",VLOOKUP(VLOOKUP($A107,Centrum!$D$3:$M$130,10,0),Centrum!$A$3:$CB$130,BC$132,0))</f>
        <v/>
      </c>
      <c r="BD107" s="333" t="str">
        <f>IF(OR(OR($A107="",TYPE(VLOOKUP($A107,Centrum!$D$3:$M$130,10,0))&gt;3),$A$1&lt;5),"",VLOOKUP(VLOOKUP($A107,Centrum!$D$3:$M$130,10,0),Centrum!$A$3:$CB$130,BD$132,0))</f>
        <v/>
      </c>
      <c r="BE107" s="333" t="str">
        <f>IF(OR(OR($A107="",TYPE(VLOOKUP($A107,Centrum!$D$3:$M$130,10,0))&gt;3),$A$1&lt;5),"",VLOOKUP(VLOOKUP($A107,Centrum!$D$3:$M$130,10,0),Centrum!$A$3:$CB$130,BE$132,0))</f>
        <v/>
      </c>
      <c r="BL107" s="333" t="str">
        <f>IF(OR(OR($A107="",TYPE(VLOOKUP($A107,Centrum!$D$3:$M$130,10,0))&gt;3),$A$1&lt;6),"",VLOOKUP(VLOOKUP($A107,Centrum!$D$3:$M$130,10,0),Centrum!$A$3:$CB$130,BL$132,0))</f>
        <v/>
      </c>
      <c r="BM107" s="333" t="str">
        <f>IF(OR(OR($A107="",TYPE(VLOOKUP($A107,Centrum!$D$3:$M$130,10,0))&gt;3),$A$1&lt;6),"",VLOOKUP(VLOOKUP($A107,Centrum!$D$3:$M$130,10,0),Centrum!$A$3:$CB$130,BM$132,0))</f>
        <v/>
      </c>
      <c r="BN107" s="333" t="str">
        <f>IF(OR(OR($A107="",TYPE(VLOOKUP($A107,Centrum!$D$3:$M$130,10,0))&gt;3),$A$1&lt;6),"",VLOOKUP(VLOOKUP($A107,Centrum!$D$3:$M$130,10,0),Centrum!$A$3:$CB$130,BN$132,0))</f>
        <v/>
      </c>
    </row>
    <row r="108" spans="1:66" x14ac:dyDescent="0.25">
      <c r="A108" s="333" t="str">
        <f>Centrum!A108</f>
        <v/>
      </c>
      <c r="B108" s="439" t="str">
        <f>IF(OR($A108="",TYPE(VLOOKUP($A108,Centrum!$D$3:$M$130,10,0))&gt;3),"",VLOOKUP(VLOOKUP(A108,Centrum!$D$3:$M$130,10,0),Centrum!$A$3:$CB$130,B$132,0))</f>
        <v/>
      </c>
      <c r="C108" s="333" t="str">
        <f>IF(OR($A108="",TYPE(VLOOKUP($A108,Centrum!$D$3:$M$130,10,0))&gt;3),"",VLOOKUP($A108,Centrum!$D$3:$M$130,10,0))</f>
        <v/>
      </c>
      <c r="E108" s="333" t="str">
        <f>IF(OR($A108="",TYPE(VLOOKUP($A108,Centrum!$D$3:$M$130,10,0))&gt;3),"",VLOOKUP(VLOOKUP($A108,Centrum!$D$3:$M$130,10,0),Centrum!$A$3:$CB$130,E$132,0))</f>
        <v/>
      </c>
      <c r="F108" s="333" t="str">
        <f>IF(OR($A108="",TYPE(VLOOKUP($A108,Centrum!$D$3:$M$130,10,0))&gt;3),"",VLOOKUP(VLOOKUP($A108,Centrum!$D$3:$M$130,10,0),Centrum!$A$3:$CB$130,F$132,0))</f>
        <v/>
      </c>
      <c r="G108" s="333" t="str">
        <f>IF(OR($A108="",TYPE(VLOOKUP($A108,Centrum!$D$3:$M$130,10,0))&gt;3),"",VLOOKUP(VLOOKUP($A108,Centrum!$D$3:$M$130,10,0),Centrum!$A$3:$CB$130,G$132,0))</f>
        <v/>
      </c>
      <c r="H108" s="333" t="str">
        <f>IF($A108="","",VLOOKUP(VLOOKUP($A108,Centrum!$D$3:$M$130,10,0),Centrum!$A$3:$CB$130,H$132,0))</f>
        <v/>
      </c>
      <c r="I108" s="333" t="str">
        <f>IF($A108="","",VLOOKUP(VLOOKUP($A108,Centrum!$D$3:$M$130,10,0),Centrum!$A$3:$CB$130,I$132,0))</f>
        <v/>
      </c>
      <c r="J108" s="333" t="str">
        <f>IF(OR($A108="",TYPE(VLOOKUP($A108,Centrum!$D$3:$M$130,10,0))&gt;3),"",VLOOKUP(VLOOKUP($A108,Centrum!$D$3:$M$130,10,0),Centrum!$A$3:$CB$130,J$132,0))</f>
        <v/>
      </c>
      <c r="L108" s="333" t="str">
        <f>IF(OR($A108="",TYPE(VLOOKUP($A108,Centrum!$D$3:$M$130,10,0))&gt;3),"",VLOOKUP(VLOOKUP($A108,Centrum!$D$3:$M$130,10,0),Centrum!$A$3:$CB$130,L$132,0))</f>
        <v/>
      </c>
      <c r="M108" s="333" t="str">
        <f>IF(OR($A108="",TYPE(VLOOKUP($A108,Centrum!$D$3:$M$130,10,0))&gt;3),"",VLOOKUP(VLOOKUP($A108,Centrum!$D$3:$M$130,10,0),Centrum!$A$3:$CB$130,M$132,0))</f>
        <v/>
      </c>
      <c r="N108" s="333" t="str">
        <f>IF(OR($A108="",TYPE(VLOOKUP($A108,Centrum!$D$3:$M$130,10,0))&gt;3),"",VLOOKUP(VLOOKUP($A108,Centrum!$D$3:$M$130,10,0),Centrum!$A$3:$CB$130,N$132,0))</f>
        <v/>
      </c>
      <c r="O108" s="333" t="str">
        <f>IF(OR($A108="",TYPE(VLOOKUP($A108,Centrum!$D$3:$M$130,10,0))&gt;3),"",VLOOKUP(VLOOKUP($A108,Centrum!$D$3:$M$130,10,0),Centrum!$A$3:$CB$130,O$132,0))</f>
        <v/>
      </c>
      <c r="P108" s="333" t="str">
        <f>IF(OR($A108="",TYPE(VLOOKUP($A108,Centrum!$D$3:$M$130,10,0))&gt;3),"",VLOOKUP(VLOOKUP($A108,Centrum!$D$3:$M$130,10,0),Centrum!$A$3:$CB$130,P$132,0))</f>
        <v/>
      </c>
      <c r="Q108" s="333" t="str">
        <f>IF(OR($A108="",TYPE(VLOOKUP($A108,Centrum!$D$3:$M$130,10,0))&gt;3),"",VLOOKUP(VLOOKUP($A108,Centrum!$D$3:$M$130,10,0),Centrum!$A$3:$CB$130,Q$132,0))</f>
        <v/>
      </c>
      <c r="S108" s="333" t="str">
        <f>IF(OR($A108="",TYPE(VLOOKUP($A108,Centrum!$D$3:$M$130,10,0))&gt;3),"",VLOOKUP(VLOOKUP($A108,Centrum!$D$3:$M$130,10,0),Centrum!$A$3:$CB$130,S$132,0))</f>
        <v/>
      </c>
      <c r="T108" s="333" t="str">
        <f>IF(OR($A108="",TYPE(VLOOKUP($A108,Centrum!$D$3:$M$130,10,0))&gt;3),"",VLOOKUP(VLOOKUP($A108,Centrum!$D$3:$M$130,10,0),Centrum!$A$3:$CB$130,T$132,0))</f>
        <v/>
      </c>
      <c r="U108" s="333" t="str">
        <f>IF(OR($A108="",TYPE(VLOOKUP($A108,Centrum!$D$3:$M$130,10,0))&gt;3),"",VLOOKUP(VLOOKUP($A108,Centrum!$D$3:$M$130,10,0),Centrum!$A$3:$CB$130,U$132,0))</f>
        <v/>
      </c>
      <c r="AB108" s="333" t="str">
        <f>IF(OR($A108="",TYPE(VLOOKUP($A108,Centrum!$D$3:$M$130,10,0))&gt;3),"",VLOOKUP(VLOOKUP($A108,Centrum!$D$3:$M$130,10,0),Centrum!$A$3:$CB$130,AB$132,0))</f>
        <v/>
      </c>
      <c r="AC108" s="333" t="str">
        <f>IF(OR($A108="",TYPE(VLOOKUP($A108,Centrum!$D$3:$M$130,10,0))&gt;3),"",VLOOKUP(VLOOKUP($A108,Centrum!$D$3:$M$130,10,0),Centrum!$A$3:$CB$130,AC$132,0))</f>
        <v/>
      </c>
      <c r="AD108" s="333" t="str">
        <f>IF(OR($A108="",TYPE(VLOOKUP($A108,Centrum!$D$3:$M$130,10,0))&gt;3),"",VLOOKUP(VLOOKUP($A108,Centrum!$D$3:$M$130,10,0),Centrum!$A$3:$CB$130,AD$132,0))</f>
        <v/>
      </c>
      <c r="AK108" s="333" t="str">
        <f>IF(OR($A108="",TYPE(VLOOKUP($A108,Centrum!$D$3:$M$130,10,0))&gt;3),"",VLOOKUP(VLOOKUP($A108,Centrum!$D$3:$M$130,10,0),Centrum!$A$3:$CB$130,AK$132,0))</f>
        <v/>
      </c>
      <c r="AL108" s="333" t="str">
        <f>IF(OR($A108="",TYPE(VLOOKUP($A108,Centrum!$D$3:$M$130,10,0))&gt;3),"",VLOOKUP(VLOOKUP($A108,Centrum!$D$3:$M$130,10,0),Centrum!$A$3:$CB$130,AL$132,0))</f>
        <v/>
      </c>
      <c r="AM108" s="333" t="str">
        <f>IF(OR($A108="",TYPE(VLOOKUP($A108,Centrum!$D$3:$M$130,10,0))&gt;3),"",VLOOKUP(VLOOKUP($A108,Centrum!$D$3:$M$130,10,0),Centrum!$A$3:$CB$130,AM$132,0))</f>
        <v/>
      </c>
      <c r="AT108" s="333" t="str">
        <f>IF(OR(OR($A108="",TYPE(VLOOKUP($A108,Centrum!$D$3:$M$130,10,0))&gt;3),$A$1&lt;4),"",VLOOKUP(VLOOKUP($A108,Centrum!$D$3:$M$130,10,0),Centrum!$A$3:$CB$130,AT$132,0))</f>
        <v/>
      </c>
      <c r="AU108" s="333" t="str">
        <f>IF(OR(OR($A108="",TYPE(VLOOKUP($A108,Centrum!$D$3:$M$130,10,0))&gt;3),$A$1&lt;4),"",VLOOKUP(VLOOKUP($A108,Centrum!$D$3:$M$130,10,0),Centrum!$A$3:$CB$130,AU$132,0))</f>
        <v/>
      </c>
      <c r="AV108" s="333" t="str">
        <f>IF(OR(OR($A108="",TYPE(VLOOKUP($A108,Centrum!$D$3:$M$130,10,0))&gt;3),$A$1&lt;4),"",VLOOKUP(VLOOKUP($A108,Centrum!$D$3:$M$130,10,0),Centrum!$A$3:$CB$130,AV$132,0))</f>
        <v/>
      </c>
      <c r="BC108" s="333" t="str">
        <f>IF(OR(OR($A108="",TYPE(VLOOKUP($A108,Centrum!$D$3:$M$130,10,0))&gt;3),$A$1&lt;5),"",VLOOKUP(VLOOKUP($A108,Centrum!$D$3:$M$130,10,0),Centrum!$A$3:$CB$130,BC$132,0))</f>
        <v/>
      </c>
      <c r="BD108" s="333" t="str">
        <f>IF(OR(OR($A108="",TYPE(VLOOKUP($A108,Centrum!$D$3:$M$130,10,0))&gt;3),$A$1&lt;5),"",VLOOKUP(VLOOKUP($A108,Centrum!$D$3:$M$130,10,0),Centrum!$A$3:$CB$130,BD$132,0))</f>
        <v/>
      </c>
      <c r="BE108" s="333" t="str">
        <f>IF(OR(OR($A108="",TYPE(VLOOKUP($A108,Centrum!$D$3:$M$130,10,0))&gt;3),$A$1&lt;5),"",VLOOKUP(VLOOKUP($A108,Centrum!$D$3:$M$130,10,0),Centrum!$A$3:$CB$130,BE$132,0))</f>
        <v/>
      </c>
      <c r="BL108" s="333" t="str">
        <f>IF(OR(OR($A108="",TYPE(VLOOKUP($A108,Centrum!$D$3:$M$130,10,0))&gt;3),$A$1&lt;6),"",VLOOKUP(VLOOKUP($A108,Centrum!$D$3:$M$130,10,0),Centrum!$A$3:$CB$130,BL$132,0))</f>
        <v/>
      </c>
      <c r="BM108" s="333" t="str">
        <f>IF(OR(OR($A108="",TYPE(VLOOKUP($A108,Centrum!$D$3:$M$130,10,0))&gt;3),$A$1&lt;6),"",VLOOKUP(VLOOKUP($A108,Centrum!$D$3:$M$130,10,0),Centrum!$A$3:$CB$130,BM$132,0))</f>
        <v/>
      </c>
      <c r="BN108" s="333" t="str">
        <f>IF(OR(OR($A108="",TYPE(VLOOKUP($A108,Centrum!$D$3:$M$130,10,0))&gt;3),$A$1&lt;6),"",VLOOKUP(VLOOKUP($A108,Centrum!$D$3:$M$130,10,0),Centrum!$A$3:$CB$130,BN$132,0))</f>
        <v/>
      </c>
    </row>
    <row r="109" spans="1:66" x14ac:dyDescent="0.25">
      <c r="A109" s="333" t="str">
        <f>Centrum!A109</f>
        <v/>
      </c>
      <c r="B109" s="439" t="str">
        <f>IF(OR($A109="",TYPE(VLOOKUP($A109,Centrum!$D$3:$M$130,10,0))&gt;3),"",VLOOKUP(VLOOKUP(A109,Centrum!$D$3:$M$130,10,0),Centrum!$A$3:$CB$130,B$132,0))</f>
        <v/>
      </c>
      <c r="C109" s="333" t="str">
        <f>IF(OR($A109="",TYPE(VLOOKUP($A109,Centrum!$D$3:$M$130,10,0))&gt;3),"",VLOOKUP($A109,Centrum!$D$3:$M$130,10,0))</f>
        <v/>
      </c>
      <c r="E109" s="333" t="str">
        <f>IF(OR($A109="",TYPE(VLOOKUP($A109,Centrum!$D$3:$M$130,10,0))&gt;3),"",VLOOKUP(VLOOKUP($A109,Centrum!$D$3:$M$130,10,0),Centrum!$A$3:$CB$130,E$132,0))</f>
        <v/>
      </c>
      <c r="F109" s="333" t="str">
        <f>IF(OR($A109="",TYPE(VLOOKUP($A109,Centrum!$D$3:$M$130,10,0))&gt;3),"",VLOOKUP(VLOOKUP($A109,Centrum!$D$3:$M$130,10,0),Centrum!$A$3:$CB$130,F$132,0))</f>
        <v/>
      </c>
      <c r="G109" s="333" t="str">
        <f>IF(OR($A109="",TYPE(VLOOKUP($A109,Centrum!$D$3:$M$130,10,0))&gt;3),"",VLOOKUP(VLOOKUP($A109,Centrum!$D$3:$M$130,10,0),Centrum!$A$3:$CB$130,G$132,0))</f>
        <v/>
      </c>
      <c r="H109" s="333" t="str">
        <f>IF($A109="","",VLOOKUP(VLOOKUP($A109,Centrum!$D$3:$M$130,10,0),Centrum!$A$3:$CB$130,H$132,0))</f>
        <v/>
      </c>
      <c r="I109" s="333" t="str">
        <f>IF($A109="","",VLOOKUP(VLOOKUP($A109,Centrum!$D$3:$M$130,10,0),Centrum!$A$3:$CB$130,I$132,0))</f>
        <v/>
      </c>
      <c r="J109" s="333" t="str">
        <f>IF(OR($A109="",TYPE(VLOOKUP($A109,Centrum!$D$3:$M$130,10,0))&gt;3),"",VLOOKUP(VLOOKUP($A109,Centrum!$D$3:$M$130,10,0),Centrum!$A$3:$CB$130,J$132,0))</f>
        <v/>
      </c>
      <c r="L109" s="333" t="str">
        <f>IF(OR($A109="",TYPE(VLOOKUP($A109,Centrum!$D$3:$M$130,10,0))&gt;3),"",VLOOKUP(VLOOKUP($A109,Centrum!$D$3:$M$130,10,0),Centrum!$A$3:$CB$130,L$132,0))</f>
        <v/>
      </c>
      <c r="M109" s="333" t="str">
        <f>IF(OR($A109="",TYPE(VLOOKUP($A109,Centrum!$D$3:$M$130,10,0))&gt;3),"",VLOOKUP(VLOOKUP($A109,Centrum!$D$3:$M$130,10,0),Centrum!$A$3:$CB$130,M$132,0))</f>
        <v/>
      </c>
      <c r="N109" s="333" t="str">
        <f>IF(OR($A109="",TYPE(VLOOKUP($A109,Centrum!$D$3:$M$130,10,0))&gt;3),"",VLOOKUP(VLOOKUP($A109,Centrum!$D$3:$M$130,10,0),Centrum!$A$3:$CB$130,N$132,0))</f>
        <v/>
      </c>
      <c r="O109" s="333" t="str">
        <f>IF(OR($A109="",TYPE(VLOOKUP($A109,Centrum!$D$3:$M$130,10,0))&gt;3),"",VLOOKUP(VLOOKUP($A109,Centrum!$D$3:$M$130,10,0),Centrum!$A$3:$CB$130,O$132,0))</f>
        <v/>
      </c>
      <c r="P109" s="333" t="str">
        <f>IF(OR($A109="",TYPE(VLOOKUP($A109,Centrum!$D$3:$M$130,10,0))&gt;3),"",VLOOKUP(VLOOKUP($A109,Centrum!$D$3:$M$130,10,0),Centrum!$A$3:$CB$130,P$132,0))</f>
        <v/>
      </c>
      <c r="Q109" s="333" t="str">
        <f>IF(OR($A109="",TYPE(VLOOKUP($A109,Centrum!$D$3:$M$130,10,0))&gt;3),"",VLOOKUP(VLOOKUP($A109,Centrum!$D$3:$M$130,10,0),Centrum!$A$3:$CB$130,Q$132,0))</f>
        <v/>
      </c>
      <c r="S109" s="333" t="str">
        <f>IF(OR($A109="",TYPE(VLOOKUP($A109,Centrum!$D$3:$M$130,10,0))&gt;3),"",VLOOKUP(VLOOKUP($A109,Centrum!$D$3:$M$130,10,0),Centrum!$A$3:$CB$130,S$132,0))</f>
        <v/>
      </c>
      <c r="T109" s="333" t="str">
        <f>IF(OR($A109="",TYPE(VLOOKUP($A109,Centrum!$D$3:$M$130,10,0))&gt;3),"",VLOOKUP(VLOOKUP($A109,Centrum!$D$3:$M$130,10,0),Centrum!$A$3:$CB$130,T$132,0))</f>
        <v/>
      </c>
      <c r="U109" s="333" t="str">
        <f>IF(OR($A109="",TYPE(VLOOKUP($A109,Centrum!$D$3:$M$130,10,0))&gt;3),"",VLOOKUP(VLOOKUP($A109,Centrum!$D$3:$M$130,10,0),Centrum!$A$3:$CB$130,U$132,0))</f>
        <v/>
      </c>
      <c r="AB109" s="333" t="str">
        <f>IF(OR($A109="",TYPE(VLOOKUP($A109,Centrum!$D$3:$M$130,10,0))&gt;3),"",VLOOKUP(VLOOKUP($A109,Centrum!$D$3:$M$130,10,0),Centrum!$A$3:$CB$130,AB$132,0))</f>
        <v/>
      </c>
      <c r="AC109" s="333" t="str">
        <f>IF(OR($A109="",TYPE(VLOOKUP($A109,Centrum!$D$3:$M$130,10,0))&gt;3),"",VLOOKUP(VLOOKUP($A109,Centrum!$D$3:$M$130,10,0),Centrum!$A$3:$CB$130,AC$132,0))</f>
        <v/>
      </c>
      <c r="AD109" s="333" t="str">
        <f>IF(OR($A109="",TYPE(VLOOKUP($A109,Centrum!$D$3:$M$130,10,0))&gt;3),"",VLOOKUP(VLOOKUP($A109,Centrum!$D$3:$M$130,10,0),Centrum!$A$3:$CB$130,AD$132,0))</f>
        <v/>
      </c>
      <c r="AK109" s="333" t="str">
        <f>IF(OR($A109="",TYPE(VLOOKUP($A109,Centrum!$D$3:$M$130,10,0))&gt;3),"",VLOOKUP(VLOOKUP($A109,Centrum!$D$3:$M$130,10,0),Centrum!$A$3:$CB$130,AK$132,0))</f>
        <v/>
      </c>
      <c r="AL109" s="333" t="str">
        <f>IF(OR($A109="",TYPE(VLOOKUP($A109,Centrum!$D$3:$M$130,10,0))&gt;3),"",VLOOKUP(VLOOKUP($A109,Centrum!$D$3:$M$130,10,0),Centrum!$A$3:$CB$130,AL$132,0))</f>
        <v/>
      </c>
      <c r="AM109" s="333" t="str">
        <f>IF(OR($A109="",TYPE(VLOOKUP($A109,Centrum!$D$3:$M$130,10,0))&gt;3),"",VLOOKUP(VLOOKUP($A109,Centrum!$D$3:$M$130,10,0),Centrum!$A$3:$CB$130,AM$132,0))</f>
        <v/>
      </c>
      <c r="AT109" s="333" t="str">
        <f>IF(OR(OR($A109="",TYPE(VLOOKUP($A109,Centrum!$D$3:$M$130,10,0))&gt;3),$A$1&lt;4),"",VLOOKUP(VLOOKUP($A109,Centrum!$D$3:$M$130,10,0),Centrum!$A$3:$CB$130,AT$132,0))</f>
        <v/>
      </c>
      <c r="AU109" s="333" t="str">
        <f>IF(OR(OR($A109="",TYPE(VLOOKUP($A109,Centrum!$D$3:$M$130,10,0))&gt;3),$A$1&lt;4),"",VLOOKUP(VLOOKUP($A109,Centrum!$D$3:$M$130,10,0),Centrum!$A$3:$CB$130,AU$132,0))</f>
        <v/>
      </c>
      <c r="AV109" s="333" t="str">
        <f>IF(OR(OR($A109="",TYPE(VLOOKUP($A109,Centrum!$D$3:$M$130,10,0))&gt;3),$A$1&lt;4),"",VLOOKUP(VLOOKUP($A109,Centrum!$D$3:$M$130,10,0),Centrum!$A$3:$CB$130,AV$132,0))</f>
        <v/>
      </c>
      <c r="BC109" s="333" t="str">
        <f>IF(OR(OR($A109="",TYPE(VLOOKUP($A109,Centrum!$D$3:$M$130,10,0))&gt;3),$A$1&lt;5),"",VLOOKUP(VLOOKUP($A109,Centrum!$D$3:$M$130,10,0),Centrum!$A$3:$CB$130,BC$132,0))</f>
        <v/>
      </c>
      <c r="BD109" s="333" t="str">
        <f>IF(OR(OR($A109="",TYPE(VLOOKUP($A109,Centrum!$D$3:$M$130,10,0))&gt;3),$A$1&lt;5),"",VLOOKUP(VLOOKUP($A109,Centrum!$D$3:$M$130,10,0),Centrum!$A$3:$CB$130,BD$132,0))</f>
        <v/>
      </c>
      <c r="BE109" s="333" t="str">
        <f>IF(OR(OR($A109="",TYPE(VLOOKUP($A109,Centrum!$D$3:$M$130,10,0))&gt;3),$A$1&lt;5),"",VLOOKUP(VLOOKUP($A109,Centrum!$D$3:$M$130,10,0),Centrum!$A$3:$CB$130,BE$132,0))</f>
        <v/>
      </c>
      <c r="BL109" s="333" t="str">
        <f>IF(OR(OR($A109="",TYPE(VLOOKUP($A109,Centrum!$D$3:$M$130,10,0))&gt;3),$A$1&lt;6),"",VLOOKUP(VLOOKUP($A109,Centrum!$D$3:$M$130,10,0),Centrum!$A$3:$CB$130,BL$132,0))</f>
        <v/>
      </c>
      <c r="BM109" s="333" t="str">
        <f>IF(OR(OR($A109="",TYPE(VLOOKUP($A109,Centrum!$D$3:$M$130,10,0))&gt;3),$A$1&lt;6),"",VLOOKUP(VLOOKUP($A109,Centrum!$D$3:$M$130,10,0),Centrum!$A$3:$CB$130,BM$132,0))</f>
        <v/>
      </c>
      <c r="BN109" s="333" t="str">
        <f>IF(OR(OR($A109="",TYPE(VLOOKUP($A109,Centrum!$D$3:$M$130,10,0))&gt;3),$A$1&lt;6),"",VLOOKUP(VLOOKUP($A109,Centrum!$D$3:$M$130,10,0),Centrum!$A$3:$CB$130,BN$132,0))</f>
        <v/>
      </c>
    </row>
    <row r="110" spans="1:66" x14ac:dyDescent="0.25">
      <c r="A110" s="333" t="str">
        <f>Centrum!A110</f>
        <v/>
      </c>
      <c r="B110" s="439" t="str">
        <f>IF(OR($A110="",TYPE(VLOOKUP($A110,Centrum!$D$3:$M$130,10,0))&gt;3),"",VLOOKUP(VLOOKUP(A110,Centrum!$D$3:$M$130,10,0),Centrum!$A$3:$CB$130,B$132,0))</f>
        <v/>
      </c>
      <c r="C110" s="333" t="str">
        <f>IF(OR($A110="",TYPE(VLOOKUP($A110,Centrum!$D$3:$M$130,10,0))&gt;3),"",VLOOKUP($A110,Centrum!$D$3:$M$130,10,0))</f>
        <v/>
      </c>
      <c r="E110" s="333" t="str">
        <f>IF(OR($A110="",TYPE(VLOOKUP($A110,Centrum!$D$3:$M$130,10,0))&gt;3),"",VLOOKUP(VLOOKUP($A110,Centrum!$D$3:$M$130,10,0),Centrum!$A$3:$CB$130,E$132,0))</f>
        <v/>
      </c>
      <c r="F110" s="333" t="str">
        <f>IF(OR($A110="",TYPE(VLOOKUP($A110,Centrum!$D$3:$M$130,10,0))&gt;3),"",VLOOKUP(VLOOKUP($A110,Centrum!$D$3:$M$130,10,0),Centrum!$A$3:$CB$130,F$132,0))</f>
        <v/>
      </c>
      <c r="G110" s="333" t="str">
        <f>IF(OR($A110="",TYPE(VLOOKUP($A110,Centrum!$D$3:$M$130,10,0))&gt;3),"",VLOOKUP(VLOOKUP($A110,Centrum!$D$3:$M$130,10,0),Centrum!$A$3:$CB$130,G$132,0))</f>
        <v/>
      </c>
      <c r="H110" s="333" t="str">
        <f>IF($A110="","",VLOOKUP(VLOOKUP($A110,Centrum!$D$3:$M$130,10,0),Centrum!$A$3:$CB$130,H$132,0))</f>
        <v/>
      </c>
      <c r="I110" s="333" t="str">
        <f>IF($A110="","",VLOOKUP(VLOOKUP($A110,Centrum!$D$3:$M$130,10,0),Centrum!$A$3:$CB$130,I$132,0))</f>
        <v/>
      </c>
      <c r="J110" s="333" t="str">
        <f>IF(OR($A110="",TYPE(VLOOKUP($A110,Centrum!$D$3:$M$130,10,0))&gt;3),"",VLOOKUP(VLOOKUP($A110,Centrum!$D$3:$M$130,10,0),Centrum!$A$3:$CB$130,J$132,0))</f>
        <v/>
      </c>
      <c r="L110" s="333" t="str">
        <f>IF(OR($A110="",TYPE(VLOOKUP($A110,Centrum!$D$3:$M$130,10,0))&gt;3),"",VLOOKUP(VLOOKUP($A110,Centrum!$D$3:$M$130,10,0),Centrum!$A$3:$CB$130,L$132,0))</f>
        <v/>
      </c>
      <c r="M110" s="333" t="str">
        <f>IF(OR($A110="",TYPE(VLOOKUP($A110,Centrum!$D$3:$M$130,10,0))&gt;3),"",VLOOKUP(VLOOKUP($A110,Centrum!$D$3:$M$130,10,0),Centrum!$A$3:$CB$130,M$132,0))</f>
        <v/>
      </c>
      <c r="N110" s="333" t="str">
        <f>IF(OR($A110="",TYPE(VLOOKUP($A110,Centrum!$D$3:$M$130,10,0))&gt;3),"",VLOOKUP(VLOOKUP($A110,Centrum!$D$3:$M$130,10,0),Centrum!$A$3:$CB$130,N$132,0))</f>
        <v/>
      </c>
      <c r="O110" s="333" t="str">
        <f>IF(OR($A110="",TYPE(VLOOKUP($A110,Centrum!$D$3:$M$130,10,0))&gt;3),"",VLOOKUP(VLOOKUP($A110,Centrum!$D$3:$M$130,10,0),Centrum!$A$3:$CB$130,O$132,0))</f>
        <v/>
      </c>
      <c r="P110" s="333" t="str">
        <f>IF(OR($A110="",TYPE(VLOOKUP($A110,Centrum!$D$3:$M$130,10,0))&gt;3),"",VLOOKUP(VLOOKUP($A110,Centrum!$D$3:$M$130,10,0),Centrum!$A$3:$CB$130,P$132,0))</f>
        <v/>
      </c>
      <c r="Q110" s="333" t="str">
        <f>IF(OR($A110="",TYPE(VLOOKUP($A110,Centrum!$D$3:$M$130,10,0))&gt;3),"",VLOOKUP(VLOOKUP($A110,Centrum!$D$3:$M$130,10,0),Centrum!$A$3:$CB$130,Q$132,0))</f>
        <v/>
      </c>
      <c r="S110" s="333" t="str">
        <f>IF(OR($A110="",TYPE(VLOOKUP($A110,Centrum!$D$3:$M$130,10,0))&gt;3),"",VLOOKUP(VLOOKUP($A110,Centrum!$D$3:$M$130,10,0),Centrum!$A$3:$CB$130,S$132,0))</f>
        <v/>
      </c>
      <c r="T110" s="333" t="str">
        <f>IF(OR($A110="",TYPE(VLOOKUP($A110,Centrum!$D$3:$M$130,10,0))&gt;3),"",VLOOKUP(VLOOKUP($A110,Centrum!$D$3:$M$130,10,0),Centrum!$A$3:$CB$130,T$132,0))</f>
        <v/>
      </c>
      <c r="U110" s="333" t="str">
        <f>IF(OR($A110="",TYPE(VLOOKUP($A110,Centrum!$D$3:$M$130,10,0))&gt;3),"",VLOOKUP(VLOOKUP($A110,Centrum!$D$3:$M$130,10,0),Centrum!$A$3:$CB$130,U$132,0))</f>
        <v/>
      </c>
      <c r="AB110" s="333" t="str">
        <f>IF(OR($A110="",TYPE(VLOOKUP($A110,Centrum!$D$3:$M$130,10,0))&gt;3),"",VLOOKUP(VLOOKUP($A110,Centrum!$D$3:$M$130,10,0),Centrum!$A$3:$CB$130,AB$132,0))</f>
        <v/>
      </c>
      <c r="AC110" s="333" t="str">
        <f>IF(OR($A110="",TYPE(VLOOKUP($A110,Centrum!$D$3:$M$130,10,0))&gt;3),"",VLOOKUP(VLOOKUP($A110,Centrum!$D$3:$M$130,10,0),Centrum!$A$3:$CB$130,AC$132,0))</f>
        <v/>
      </c>
      <c r="AD110" s="333" t="str">
        <f>IF(OR($A110="",TYPE(VLOOKUP($A110,Centrum!$D$3:$M$130,10,0))&gt;3),"",VLOOKUP(VLOOKUP($A110,Centrum!$D$3:$M$130,10,0),Centrum!$A$3:$CB$130,AD$132,0))</f>
        <v/>
      </c>
      <c r="AK110" s="333" t="str">
        <f>IF(OR($A110="",TYPE(VLOOKUP($A110,Centrum!$D$3:$M$130,10,0))&gt;3),"",VLOOKUP(VLOOKUP($A110,Centrum!$D$3:$M$130,10,0),Centrum!$A$3:$CB$130,AK$132,0))</f>
        <v/>
      </c>
      <c r="AL110" s="333" t="str">
        <f>IF(OR($A110="",TYPE(VLOOKUP($A110,Centrum!$D$3:$M$130,10,0))&gt;3),"",VLOOKUP(VLOOKUP($A110,Centrum!$D$3:$M$130,10,0),Centrum!$A$3:$CB$130,AL$132,0))</f>
        <v/>
      </c>
      <c r="AM110" s="333" t="str">
        <f>IF(OR($A110="",TYPE(VLOOKUP($A110,Centrum!$D$3:$M$130,10,0))&gt;3),"",VLOOKUP(VLOOKUP($A110,Centrum!$D$3:$M$130,10,0),Centrum!$A$3:$CB$130,AM$132,0))</f>
        <v/>
      </c>
      <c r="AT110" s="333" t="str">
        <f>IF(OR(OR($A110="",TYPE(VLOOKUP($A110,Centrum!$D$3:$M$130,10,0))&gt;3),$A$1&lt;4),"",VLOOKUP(VLOOKUP($A110,Centrum!$D$3:$M$130,10,0),Centrum!$A$3:$CB$130,AT$132,0))</f>
        <v/>
      </c>
      <c r="AU110" s="333" t="str">
        <f>IF(OR(OR($A110="",TYPE(VLOOKUP($A110,Centrum!$D$3:$M$130,10,0))&gt;3),$A$1&lt;4),"",VLOOKUP(VLOOKUP($A110,Centrum!$D$3:$M$130,10,0),Centrum!$A$3:$CB$130,AU$132,0))</f>
        <v/>
      </c>
      <c r="AV110" s="333" t="str">
        <f>IF(OR(OR($A110="",TYPE(VLOOKUP($A110,Centrum!$D$3:$M$130,10,0))&gt;3),$A$1&lt;4),"",VLOOKUP(VLOOKUP($A110,Centrum!$D$3:$M$130,10,0),Centrum!$A$3:$CB$130,AV$132,0))</f>
        <v/>
      </c>
      <c r="BC110" s="333" t="str">
        <f>IF(OR(OR($A110="",TYPE(VLOOKUP($A110,Centrum!$D$3:$M$130,10,0))&gt;3),$A$1&lt;5),"",VLOOKUP(VLOOKUP($A110,Centrum!$D$3:$M$130,10,0),Centrum!$A$3:$CB$130,BC$132,0))</f>
        <v/>
      </c>
      <c r="BD110" s="333" t="str">
        <f>IF(OR(OR($A110="",TYPE(VLOOKUP($A110,Centrum!$D$3:$M$130,10,0))&gt;3),$A$1&lt;5),"",VLOOKUP(VLOOKUP($A110,Centrum!$D$3:$M$130,10,0),Centrum!$A$3:$CB$130,BD$132,0))</f>
        <v/>
      </c>
      <c r="BE110" s="333" t="str">
        <f>IF(OR(OR($A110="",TYPE(VLOOKUP($A110,Centrum!$D$3:$M$130,10,0))&gt;3),$A$1&lt;5),"",VLOOKUP(VLOOKUP($A110,Centrum!$D$3:$M$130,10,0),Centrum!$A$3:$CB$130,BE$132,0))</f>
        <v/>
      </c>
      <c r="BL110" s="333" t="str">
        <f>IF(OR(OR($A110="",TYPE(VLOOKUP($A110,Centrum!$D$3:$M$130,10,0))&gt;3),$A$1&lt;6),"",VLOOKUP(VLOOKUP($A110,Centrum!$D$3:$M$130,10,0),Centrum!$A$3:$CB$130,BL$132,0))</f>
        <v/>
      </c>
      <c r="BM110" s="333" t="str">
        <f>IF(OR(OR($A110="",TYPE(VLOOKUP($A110,Centrum!$D$3:$M$130,10,0))&gt;3),$A$1&lt;6),"",VLOOKUP(VLOOKUP($A110,Centrum!$D$3:$M$130,10,0),Centrum!$A$3:$CB$130,BM$132,0))</f>
        <v/>
      </c>
      <c r="BN110" s="333" t="str">
        <f>IF(OR(OR($A110="",TYPE(VLOOKUP($A110,Centrum!$D$3:$M$130,10,0))&gt;3),$A$1&lt;6),"",VLOOKUP(VLOOKUP($A110,Centrum!$D$3:$M$130,10,0),Centrum!$A$3:$CB$130,BN$132,0))</f>
        <v/>
      </c>
    </row>
    <row r="111" spans="1:66" x14ac:dyDescent="0.25">
      <c r="A111" s="333" t="str">
        <f>Centrum!A111</f>
        <v/>
      </c>
      <c r="B111" s="439" t="str">
        <f>IF(OR($A111="",TYPE(VLOOKUP($A111,Centrum!$D$3:$M$130,10,0))&gt;3),"",VLOOKUP(VLOOKUP(A111,Centrum!$D$3:$M$130,10,0),Centrum!$A$3:$CB$130,B$132,0))</f>
        <v/>
      </c>
      <c r="C111" s="333" t="str">
        <f>IF(OR($A111="",TYPE(VLOOKUP($A111,Centrum!$D$3:$M$130,10,0))&gt;3),"",VLOOKUP($A111,Centrum!$D$3:$M$130,10,0))</f>
        <v/>
      </c>
      <c r="E111" s="333" t="str">
        <f>IF(OR($A111="",TYPE(VLOOKUP($A111,Centrum!$D$3:$M$130,10,0))&gt;3),"",VLOOKUP(VLOOKUP($A111,Centrum!$D$3:$M$130,10,0),Centrum!$A$3:$CB$130,E$132,0))</f>
        <v/>
      </c>
      <c r="F111" s="333" t="str">
        <f>IF(OR($A111="",TYPE(VLOOKUP($A111,Centrum!$D$3:$M$130,10,0))&gt;3),"",VLOOKUP(VLOOKUP($A111,Centrum!$D$3:$M$130,10,0),Centrum!$A$3:$CB$130,F$132,0))</f>
        <v/>
      </c>
      <c r="G111" s="333" t="str">
        <f>IF(OR($A111="",TYPE(VLOOKUP($A111,Centrum!$D$3:$M$130,10,0))&gt;3),"",VLOOKUP(VLOOKUP($A111,Centrum!$D$3:$M$130,10,0),Centrum!$A$3:$CB$130,G$132,0))</f>
        <v/>
      </c>
      <c r="H111" s="333" t="str">
        <f>IF($A111="","",VLOOKUP(VLOOKUP($A111,Centrum!$D$3:$M$130,10,0),Centrum!$A$3:$CB$130,H$132,0))</f>
        <v/>
      </c>
      <c r="I111" s="333" t="str">
        <f>IF($A111="","",VLOOKUP(VLOOKUP($A111,Centrum!$D$3:$M$130,10,0),Centrum!$A$3:$CB$130,I$132,0))</f>
        <v/>
      </c>
      <c r="J111" s="333" t="str">
        <f>IF(OR($A111="",TYPE(VLOOKUP($A111,Centrum!$D$3:$M$130,10,0))&gt;3),"",VLOOKUP(VLOOKUP($A111,Centrum!$D$3:$M$130,10,0),Centrum!$A$3:$CB$130,J$132,0))</f>
        <v/>
      </c>
      <c r="L111" s="333" t="str">
        <f>IF(OR($A111="",TYPE(VLOOKUP($A111,Centrum!$D$3:$M$130,10,0))&gt;3),"",VLOOKUP(VLOOKUP($A111,Centrum!$D$3:$M$130,10,0),Centrum!$A$3:$CB$130,L$132,0))</f>
        <v/>
      </c>
      <c r="M111" s="333" t="str">
        <f>IF(OR($A111="",TYPE(VLOOKUP($A111,Centrum!$D$3:$M$130,10,0))&gt;3),"",VLOOKUP(VLOOKUP($A111,Centrum!$D$3:$M$130,10,0),Centrum!$A$3:$CB$130,M$132,0))</f>
        <v/>
      </c>
      <c r="N111" s="333" t="str">
        <f>IF(OR($A111="",TYPE(VLOOKUP($A111,Centrum!$D$3:$M$130,10,0))&gt;3),"",VLOOKUP(VLOOKUP($A111,Centrum!$D$3:$M$130,10,0),Centrum!$A$3:$CB$130,N$132,0))</f>
        <v/>
      </c>
      <c r="O111" s="333" t="str">
        <f>IF(OR($A111="",TYPE(VLOOKUP($A111,Centrum!$D$3:$M$130,10,0))&gt;3),"",VLOOKUP(VLOOKUP($A111,Centrum!$D$3:$M$130,10,0),Centrum!$A$3:$CB$130,O$132,0))</f>
        <v/>
      </c>
      <c r="P111" s="333" t="str">
        <f>IF(OR($A111="",TYPE(VLOOKUP($A111,Centrum!$D$3:$M$130,10,0))&gt;3),"",VLOOKUP(VLOOKUP($A111,Centrum!$D$3:$M$130,10,0),Centrum!$A$3:$CB$130,P$132,0))</f>
        <v/>
      </c>
      <c r="Q111" s="333" t="str">
        <f>IF(OR($A111="",TYPE(VLOOKUP($A111,Centrum!$D$3:$M$130,10,0))&gt;3),"",VLOOKUP(VLOOKUP($A111,Centrum!$D$3:$M$130,10,0),Centrum!$A$3:$CB$130,Q$132,0))</f>
        <v/>
      </c>
      <c r="S111" s="333" t="str">
        <f>IF(OR($A111="",TYPE(VLOOKUP($A111,Centrum!$D$3:$M$130,10,0))&gt;3),"",VLOOKUP(VLOOKUP($A111,Centrum!$D$3:$M$130,10,0),Centrum!$A$3:$CB$130,S$132,0))</f>
        <v/>
      </c>
      <c r="T111" s="333" t="str">
        <f>IF(OR($A111="",TYPE(VLOOKUP($A111,Centrum!$D$3:$M$130,10,0))&gt;3),"",VLOOKUP(VLOOKUP($A111,Centrum!$D$3:$M$130,10,0),Centrum!$A$3:$CB$130,T$132,0))</f>
        <v/>
      </c>
      <c r="U111" s="333" t="str">
        <f>IF(OR($A111="",TYPE(VLOOKUP($A111,Centrum!$D$3:$M$130,10,0))&gt;3),"",VLOOKUP(VLOOKUP($A111,Centrum!$D$3:$M$130,10,0),Centrum!$A$3:$CB$130,U$132,0))</f>
        <v/>
      </c>
      <c r="AB111" s="333" t="str">
        <f>IF(OR($A111="",TYPE(VLOOKUP($A111,Centrum!$D$3:$M$130,10,0))&gt;3),"",VLOOKUP(VLOOKUP($A111,Centrum!$D$3:$M$130,10,0),Centrum!$A$3:$CB$130,AB$132,0))</f>
        <v/>
      </c>
      <c r="AC111" s="333" t="str">
        <f>IF(OR($A111="",TYPE(VLOOKUP($A111,Centrum!$D$3:$M$130,10,0))&gt;3),"",VLOOKUP(VLOOKUP($A111,Centrum!$D$3:$M$130,10,0),Centrum!$A$3:$CB$130,AC$132,0))</f>
        <v/>
      </c>
      <c r="AD111" s="333" t="str">
        <f>IF(OR($A111="",TYPE(VLOOKUP($A111,Centrum!$D$3:$M$130,10,0))&gt;3),"",VLOOKUP(VLOOKUP($A111,Centrum!$D$3:$M$130,10,0),Centrum!$A$3:$CB$130,AD$132,0))</f>
        <v/>
      </c>
      <c r="AK111" s="333" t="str">
        <f>IF(OR($A111="",TYPE(VLOOKUP($A111,Centrum!$D$3:$M$130,10,0))&gt;3),"",VLOOKUP(VLOOKUP($A111,Centrum!$D$3:$M$130,10,0),Centrum!$A$3:$CB$130,AK$132,0))</f>
        <v/>
      </c>
      <c r="AL111" s="333" t="str">
        <f>IF(OR($A111="",TYPE(VLOOKUP($A111,Centrum!$D$3:$M$130,10,0))&gt;3),"",VLOOKUP(VLOOKUP($A111,Centrum!$D$3:$M$130,10,0),Centrum!$A$3:$CB$130,AL$132,0))</f>
        <v/>
      </c>
      <c r="AM111" s="333" t="str">
        <f>IF(OR($A111="",TYPE(VLOOKUP($A111,Centrum!$D$3:$M$130,10,0))&gt;3),"",VLOOKUP(VLOOKUP($A111,Centrum!$D$3:$M$130,10,0),Centrum!$A$3:$CB$130,AM$132,0))</f>
        <v/>
      </c>
      <c r="AT111" s="333" t="str">
        <f>IF(OR(OR($A111="",TYPE(VLOOKUP($A111,Centrum!$D$3:$M$130,10,0))&gt;3),$A$1&lt;4),"",VLOOKUP(VLOOKUP($A111,Centrum!$D$3:$M$130,10,0),Centrum!$A$3:$CB$130,AT$132,0))</f>
        <v/>
      </c>
      <c r="AU111" s="333" t="str">
        <f>IF(OR(OR($A111="",TYPE(VLOOKUP($A111,Centrum!$D$3:$M$130,10,0))&gt;3),$A$1&lt;4),"",VLOOKUP(VLOOKUP($A111,Centrum!$D$3:$M$130,10,0),Centrum!$A$3:$CB$130,AU$132,0))</f>
        <v/>
      </c>
      <c r="AV111" s="333" t="str">
        <f>IF(OR(OR($A111="",TYPE(VLOOKUP($A111,Centrum!$D$3:$M$130,10,0))&gt;3),$A$1&lt;4),"",VLOOKUP(VLOOKUP($A111,Centrum!$D$3:$M$130,10,0),Centrum!$A$3:$CB$130,AV$132,0))</f>
        <v/>
      </c>
      <c r="BC111" s="333" t="str">
        <f>IF(OR(OR($A111="",TYPE(VLOOKUP($A111,Centrum!$D$3:$M$130,10,0))&gt;3),$A$1&lt;5),"",VLOOKUP(VLOOKUP($A111,Centrum!$D$3:$M$130,10,0),Centrum!$A$3:$CB$130,BC$132,0))</f>
        <v/>
      </c>
      <c r="BD111" s="333" t="str">
        <f>IF(OR(OR($A111="",TYPE(VLOOKUP($A111,Centrum!$D$3:$M$130,10,0))&gt;3),$A$1&lt;5),"",VLOOKUP(VLOOKUP($A111,Centrum!$D$3:$M$130,10,0),Centrum!$A$3:$CB$130,BD$132,0))</f>
        <v/>
      </c>
      <c r="BE111" s="333" t="str">
        <f>IF(OR(OR($A111="",TYPE(VLOOKUP($A111,Centrum!$D$3:$M$130,10,0))&gt;3),$A$1&lt;5),"",VLOOKUP(VLOOKUP($A111,Centrum!$D$3:$M$130,10,0),Centrum!$A$3:$CB$130,BE$132,0))</f>
        <v/>
      </c>
      <c r="BL111" s="333" t="str">
        <f>IF(OR(OR($A111="",TYPE(VLOOKUP($A111,Centrum!$D$3:$M$130,10,0))&gt;3),$A$1&lt;6),"",VLOOKUP(VLOOKUP($A111,Centrum!$D$3:$M$130,10,0),Centrum!$A$3:$CB$130,BL$132,0))</f>
        <v/>
      </c>
      <c r="BM111" s="333" t="str">
        <f>IF(OR(OR($A111="",TYPE(VLOOKUP($A111,Centrum!$D$3:$M$130,10,0))&gt;3),$A$1&lt;6),"",VLOOKUP(VLOOKUP($A111,Centrum!$D$3:$M$130,10,0),Centrum!$A$3:$CB$130,BM$132,0))</f>
        <v/>
      </c>
      <c r="BN111" s="333" t="str">
        <f>IF(OR(OR($A111="",TYPE(VLOOKUP($A111,Centrum!$D$3:$M$130,10,0))&gt;3),$A$1&lt;6),"",VLOOKUP(VLOOKUP($A111,Centrum!$D$3:$M$130,10,0),Centrum!$A$3:$CB$130,BN$132,0))</f>
        <v/>
      </c>
    </row>
    <row r="112" spans="1:66" x14ac:dyDescent="0.25">
      <c r="A112" s="333" t="str">
        <f>Centrum!A112</f>
        <v/>
      </c>
      <c r="B112" s="439" t="str">
        <f>IF(OR($A112="",TYPE(VLOOKUP($A112,Centrum!$D$3:$M$130,10,0))&gt;3),"",VLOOKUP(VLOOKUP(A112,Centrum!$D$3:$M$130,10,0),Centrum!$A$3:$CB$130,B$132,0))</f>
        <v/>
      </c>
      <c r="C112" s="333" t="str">
        <f>IF(OR($A112="",TYPE(VLOOKUP($A112,Centrum!$D$3:$M$130,10,0))&gt;3),"",VLOOKUP($A112,Centrum!$D$3:$M$130,10,0))</f>
        <v/>
      </c>
      <c r="E112" s="333" t="str">
        <f>IF(OR($A112="",TYPE(VLOOKUP($A112,Centrum!$D$3:$M$130,10,0))&gt;3),"",VLOOKUP(VLOOKUP($A112,Centrum!$D$3:$M$130,10,0),Centrum!$A$3:$CB$130,E$132,0))</f>
        <v/>
      </c>
      <c r="F112" s="333" t="str">
        <f>IF(OR($A112="",TYPE(VLOOKUP($A112,Centrum!$D$3:$M$130,10,0))&gt;3),"",VLOOKUP(VLOOKUP($A112,Centrum!$D$3:$M$130,10,0),Centrum!$A$3:$CB$130,F$132,0))</f>
        <v/>
      </c>
      <c r="G112" s="333" t="str">
        <f>IF(OR($A112="",TYPE(VLOOKUP($A112,Centrum!$D$3:$M$130,10,0))&gt;3),"",VLOOKUP(VLOOKUP($A112,Centrum!$D$3:$M$130,10,0),Centrum!$A$3:$CB$130,G$132,0))</f>
        <v/>
      </c>
      <c r="H112" s="333" t="str">
        <f>IF($A112="","",VLOOKUP(VLOOKUP($A112,Centrum!$D$3:$M$130,10,0),Centrum!$A$3:$CB$130,H$132,0))</f>
        <v/>
      </c>
      <c r="I112" s="333" t="str">
        <f>IF($A112="","",VLOOKUP(VLOOKUP($A112,Centrum!$D$3:$M$130,10,0),Centrum!$A$3:$CB$130,I$132,0))</f>
        <v/>
      </c>
      <c r="J112" s="333" t="str">
        <f>IF(OR($A112="",TYPE(VLOOKUP($A112,Centrum!$D$3:$M$130,10,0))&gt;3),"",VLOOKUP(VLOOKUP($A112,Centrum!$D$3:$M$130,10,0),Centrum!$A$3:$CB$130,J$132,0))</f>
        <v/>
      </c>
      <c r="L112" s="333" t="str">
        <f>IF(OR($A112="",TYPE(VLOOKUP($A112,Centrum!$D$3:$M$130,10,0))&gt;3),"",VLOOKUP(VLOOKUP($A112,Centrum!$D$3:$M$130,10,0),Centrum!$A$3:$CB$130,L$132,0))</f>
        <v/>
      </c>
      <c r="M112" s="333" t="str">
        <f>IF(OR($A112="",TYPE(VLOOKUP($A112,Centrum!$D$3:$M$130,10,0))&gt;3),"",VLOOKUP(VLOOKUP($A112,Centrum!$D$3:$M$130,10,0),Centrum!$A$3:$CB$130,M$132,0))</f>
        <v/>
      </c>
      <c r="N112" s="333" t="str">
        <f>IF(OR($A112="",TYPE(VLOOKUP($A112,Centrum!$D$3:$M$130,10,0))&gt;3),"",VLOOKUP(VLOOKUP($A112,Centrum!$D$3:$M$130,10,0),Centrum!$A$3:$CB$130,N$132,0))</f>
        <v/>
      </c>
      <c r="O112" s="333" t="str">
        <f>IF(OR($A112="",TYPE(VLOOKUP($A112,Centrum!$D$3:$M$130,10,0))&gt;3),"",VLOOKUP(VLOOKUP($A112,Centrum!$D$3:$M$130,10,0),Centrum!$A$3:$CB$130,O$132,0))</f>
        <v/>
      </c>
      <c r="P112" s="333" t="str">
        <f>IF(OR($A112="",TYPE(VLOOKUP($A112,Centrum!$D$3:$M$130,10,0))&gt;3),"",VLOOKUP(VLOOKUP($A112,Centrum!$D$3:$M$130,10,0),Centrum!$A$3:$CB$130,P$132,0))</f>
        <v/>
      </c>
      <c r="Q112" s="333" t="str">
        <f>IF(OR($A112="",TYPE(VLOOKUP($A112,Centrum!$D$3:$M$130,10,0))&gt;3),"",VLOOKUP(VLOOKUP($A112,Centrum!$D$3:$M$130,10,0),Centrum!$A$3:$CB$130,Q$132,0))</f>
        <v/>
      </c>
      <c r="S112" s="333" t="str">
        <f>IF(OR($A112="",TYPE(VLOOKUP($A112,Centrum!$D$3:$M$130,10,0))&gt;3),"",VLOOKUP(VLOOKUP($A112,Centrum!$D$3:$M$130,10,0),Centrum!$A$3:$CB$130,S$132,0))</f>
        <v/>
      </c>
      <c r="T112" s="333" t="str">
        <f>IF(OR($A112="",TYPE(VLOOKUP($A112,Centrum!$D$3:$M$130,10,0))&gt;3),"",VLOOKUP(VLOOKUP($A112,Centrum!$D$3:$M$130,10,0),Centrum!$A$3:$CB$130,T$132,0))</f>
        <v/>
      </c>
      <c r="U112" s="333" t="str">
        <f>IF(OR($A112="",TYPE(VLOOKUP($A112,Centrum!$D$3:$M$130,10,0))&gt;3),"",VLOOKUP(VLOOKUP($A112,Centrum!$D$3:$M$130,10,0),Centrum!$A$3:$CB$130,U$132,0))</f>
        <v/>
      </c>
      <c r="AB112" s="333" t="str">
        <f>IF(OR($A112="",TYPE(VLOOKUP($A112,Centrum!$D$3:$M$130,10,0))&gt;3),"",VLOOKUP(VLOOKUP($A112,Centrum!$D$3:$M$130,10,0),Centrum!$A$3:$CB$130,AB$132,0))</f>
        <v/>
      </c>
      <c r="AC112" s="333" t="str">
        <f>IF(OR($A112="",TYPE(VLOOKUP($A112,Centrum!$D$3:$M$130,10,0))&gt;3),"",VLOOKUP(VLOOKUP($A112,Centrum!$D$3:$M$130,10,0),Centrum!$A$3:$CB$130,AC$132,0))</f>
        <v/>
      </c>
      <c r="AD112" s="333" t="str">
        <f>IF(OR($A112="",TYPE(VLOOKUP($A112,Centrum!$D$3:$M$130,10,0))&gt;3),"",VLOOKUP(VLOOKUP($A112,Centrum!$D$3:$M$130,10,0),Centrum!$A$3:$CB$130,AD$132,0))</f>
        <v/>
      </c>
      <c r="AK112" s="333" t="str">
        <f>IF(OR($A112="",TYPE(VLOOKUP($A112,Centrum!$D$3:$M$130,10,0))&gt;3),"",VLOOKUP(VLOOKUP($A112,Centrum!$D$3:$M$130,10,0),Centrum!$A$3:$CB$130,AK$132,0))</f>
        <v/>
      </c>
      <c r="AL112" s="333" t="str">
        <f>IF(OR($A112="",TYPE(VLOOKUP($A112,Centrum!$D$3:$M$130,10,0))&gt;3),"",VLOOKUP(VLOOKUP($A112,Centrum!$D$3:$M$130,10,0),Centrum!$A$3:$CB$130,AL$132,0))</f>
        <v/>
      </c>
      <c r="AM112" s="333" t="str">
        <f>IF(OR($A112="",TYPE(VLOOKUP($A112,Centrum!$D$3:$M$130,10,0))&gt;3),"",VLOOKUP(VLOOKUP($A112,Centrum!$D$3:$M$130,10,0),Centrum!$A$3:$CB$130,AM$132,0))</f>
        <v/>
      </c>
      <c r="AT112" s="333" t="str">
        <f>IF(OR(OR($A112="",TYPE(VLOOKUP($A112,Centrum!$D$3:$M$130,10,0))&gt;3),$A$1&lt;4),"",VLOOKUP(VLOOKUP($A112,Centrum!$D$3:$M$130,10,0),Centrum!$A$3:$CB$130,AT$132,0))</f>
        <v/>
      </c>
      <c r="AU112" s="333" t="str">
        <f>IF(OR(OR($A112="",TYPE(VLOOKUP($A112,Centrum!$D$3:$M$130,10,0))&gt;3),$A$1&lt;4),"",VLOOKUP(VLOOKUP($A112,Centrum!$D$3:$M$130,10,0),Centrum!$A$3:$CB$130,AU$132,0))</f>
        <v/>
      </c>
      <c r="AV112" s="333" t="str">
        <f>IF(OR(OR($A112="",TYPE(VLOOKUP($A112,Centrum!$D$3:$M$130,10,0))&gt;3),$A$1&lt;4),"",VLOOKUP(VLOOKUP($A112,Centrum!$D$3:$M$130,10,0),Centrum!$A$3:$CB$130,AV$132,0))</f>
        <v/>
      </c>
      <c r="BC112" s="333" t="str">
        <f>IF(OR(OR($A112="",TYPE(VLOOKUP($A112,Centrum!$D$3:$M$130,10,0))&gt;3),$A$1&lt;5),"",VLOOKUP(VLOOKUP($A112,Centrum!$D$3:$M$130,10,0),Centrum!$A$3:$CB$130,BC$132,0))</f>
        <v/>
      </c>
      <c r="BD112" s="333" t="str">
        <f>IF(OR(OR($A112="",TYPE(VLOOKUP($A112,Centrum!$D$3:$M$130,10,0))&gt;3),$A$1&lt;5),"",VLOOKUP(VLOOKUP($A112,Centrum!$D$3:$M$130,10,0),Centrum!$A$3:$CB$130,BD$132,0))</f>
        <v/>
      </c>
      <c r="BE112" s="333" t="str">
        <f>IF(OR(OR($A112="",TYPE(VLOOKUP($A112,Centrum!$D$3:$M$130,10,0))&gt;3),$A$1&lt;5),"",VLOOKUP(VLOOKUP($A112,Centrum!$D$3:$M$130,10,0),Centrum!$A$3:$CB$130,BE$132,0))</f>
        <v/>
      </c>
      <c r="BL112" s="333" t="str">
        <f>IF(OR(OR($A112="",TYPE(VLOOKUP($A112,Centrum!$D$3:$M$130,10,0))&gt;3),$A$1&lt;6),"",VLOOKUP(VLOOKUP($A112,Centrum!$D$3:$M$130,10,0),Centrum!$A$3:$CB$130,BL$132,0))</f>
        <v/>
      </c>
      <c r="BM112" s="333" t="str">
        <f>IF(OR(OR($A112="",TYPE(VLOOKUP($A112,Centrum!$D$3:$M$130,10,0))&gt;3),$A$1&lt;6),"",VLOOKUP(VLOOKUP($A112,Centrum!$D$3:$M$130,10,0),Centrum!$A$3:$CB$130,BM$132,0))</f>
        <v/>
      </c>
      <c r="BN112" s="333" t="str">
        <f>IF(OR(OR($A112="",TYPE(VLOOKUP($A112,Centrum!$D$3:$M$130,10,0))&gt;3),$A$1&lt;6),"",VLOOKUP(VLOOKUP($A112,Centrum!$D$3:$M$130,10,0),Centrum!$A$3:$CB$130,BN$132,0))</f>
        <v/>
      </c>
    </row>
    <row r="113" spans="1:66" x14ac:dyDescent="0.25">
      <c r="A113" s="333" t="str">
        <f>Centrum!A113</f>
        <v/>
      </c>
      <c r="B113" s="439" t="str">
        <f>IF(OR($A113="",TYPE(VLOOKUP($A113,Centrum!$D$3:$M$130,10,0))&gt;3),"",VLOOKUP(VLOOKUP(A113,Centrum!$D$3:$M$130,10,0),Centrum!$A$3:$CB$130,B$132,0))</f>
        <v/>
      </c>
      <c r="C113" s="333" t="str">
        <f>IF(OR($A113="",TYPE(VLOOKUP($A113,Centrum!$D$3:$M$130,10,0))&gt;3),"",VLOOKUP($A113,Centrum!$D$3:$M$130,10,0))</f>
        <v/>
      </c>
      <c r="E113" s="333" t="str">
        <f>IF(OR($A113="",TYPE(VLOOKUP($A113,Centrum!$D$3:$M$130,10,0))&gt;3),"",VLOOKUP(VLOOKUP($A113,Centrum!$D$3:$M$130,10,0),Centrum!$A$3:$CB$130,E$132,0))</f>
        <v/>
      </c>
      <c r="F113" s="333" t="str">
        <f>IF(OR($A113="",TYPE(VLOOKUP($A113,Centrum!$D$3:$M$130,10,0))&gt;3),"",VLOOKUP(VLOOKUP($A113,Centrum!$D$3:$M$130,10,0),Centrum!$A$3:$CB$130,F$132,0))</f>
        <v/>
      </c>
      <c r="G113" s="333" t="str">
        <f>IF(OR($A113="",TYPE(VLOOKUP($A113,Centrum!$D$3:$M$130,10,0))&gt;3),"",VLOOKUP(VLOOKUP($A113,Centrum!$D$3:$M$130,10,0),Centrum!$A$3:$CB$130,G$132,0))</f>
        <v/>
      </c>
      <c r="H113" s="333" t="str">
        <f>IF($A113="","",VLOOKUP(VLOOKUP($A113,Centrum!$D$3:$M$130,10,0),Centrum!$A$3:$CB$130,H$132,0))</f>
        <v/>
      </c>
      <c r="I113" s="333" t="str">
        <f>IF($A113="","",VLOOKUP(VLOOKUP($A113,Centrum!$D$3:$M$130,10,0),Centrum!$A$3:$CB$130,I$132,0))</f>
        <v/>
      </c>
      <c r="J113" s="333" t="str">
        <f>IF(OR($A113="",TYPE(VLOOKUP($A113,Centrum!$D$3:$M$130,10,0))&gt;3),"",VLOOKUP(VLOOKUP($A113,Centrum!$D$3:$M$130,10,0),Centrum!$A$3:$CB$130,J$132,0))</f>
        <v/>
      </c>
      <c r="L113" s="333" t="str">
        <f>IF(OR($A113="",TYPE(VLOOKUP($A113,Centrum!$D$3:$M$130,10,0))&gt;3),"",VLOOKUP(VLOOKUP($A113,Centrum!$D$3:$M$130,10,0),Centrum!$A$3:$CB$130,L$132,0))</f>
        <v/>
      </c>
      <c r="M113" s="333" t="str">
        <f>IF(OR($A113="",TYPE(VLOOKUP($A113,Centrum!$D$3:$M$130,10,0))&gt;3),"",VLOOKUP(VLOOKUP($A113,Centrum!$D$3:$M$130,10,0),Centrum!$A$3:$CB$130,M$132,0))</f>
        <v/>
      </c>
      <c r="N113" s="333" t="str">
        <f>IF(OR($A113="",TYPE(VLOOKUP($A113,Centrum!$D$3:$M$130,10,0))&gt;3),"",VLOOKUP(VLOOKUP($A113,Centrum!$D$3:$M$130,10,0),Centrum!$A$3:$CB$130,N$132,0))</f>
        <v/>
      </c>
      <c r="O113" s="333" t="str">
        <f>IF(OR($A113="",TYPE(VLOOKUP($A113,Centrum!$D$3:$M$130,10,0))&gt;3),"",VLOOKUP(VLOOKUP($A113,Centrum!$D$3:$M$130,10,0),Centrum!$A$3:$CB$130,O$132,0))</f>
        <v/>
      </c>
      <c r="P113" s="333" t="str">
        <f>IF(OR($A113="",TYPE(VLOOKUP($A113,Centrum!$D$3:$M$130,10,0))&gt;3),"",VLOOKUP(VLOOKUP($A113,Centrum!$D$3:$M$130,10,0),Centrum!$A$3:$CB$130,P$132,0))</f>
        <v/>
      </c>
      <c r="Q113" s="333" t="str">
        <f>IF(OR($A113="",TYPE(VLOOKUP($A113,Centrum!$D$3:$M$130,10,0))&gt;3),"",VLOOKUP(VLOOKUP($A113,Centrum!$D$3:$M$130,10,0),Centrum!$A$3:$CB$130,Q$132,0))</f>
        <v/>
      </c>
      <c r="S113" s="333" t="str">
        <f>IF(OR($A113="",TYPE(VLOOKUP($A113,Centrum!$D$3:$M$130,10,0))&gt;3),"",VLOOKUP(VLOOKUP($A113,Centrum!$D$3:$M$130,10,0),Centrum!$A$3:$CB$130,S$132,0))</f>
        <v/>
      </c>
      <c r="T113" s="333" t="str">
        <f>IF(OR($A113="",TYPE(VLOOKUP($A113,Centrum!$D$3:$M$130,10,0))&gt;3),"",VLOOKUP(VLOOKUP($A113,Centrum!$D$3:$M$130,10,0),Centrum!$A$3:$CB$130,T$132,0))</f>
        <v/>
      </c>
      <c r="U113" s="333" t="str">
        <f>IF(OR($A113="",TYPE(VLOOKUP($A113,Centrum!$D$3:$M$130,10,0))&gt;3),"",VLOOKUP(VLOOKUP($A113,Centrum!$D$3:$M$130,10,0),Centrum!$A$3:$CB$130,U$132,0))</f>
        <v/>
      </c>
      <c r="AB113" s="333" t="str">
        <f>IF(OR($A113="",TYPE(VLOOKUP($A113,Centrum!$D$3:$M$130,10,0))&gt;3),"",VLOOKUP(VLOOKUP($A113,Centrum!$D$3:$M$130,10,0),Centrum!$A$3:$CB$130,AB$132,0))</f>
        <v/>
      </c>
      <c r="AC113" s="333" t="str">
        <f>IF(OR($A113="",TYPE(VLOOKUP($A113,Centrum!$D$3:$M$130,10,0))&gt;3),"",VLOOKUP(VLOOKUP($A113,Centrum!$D$3:$M$130,10,0),Centrum!$A$3:$CB$130,AC$132,0))</f>
        <v/>
      </c>
      <c r="AD113" s="333" t="str">
        <f>IF(OR($A113="",TYPE(VLOOKUP($A113,Centrum!$D$3:$M$130,10,0))&gt;3),"",VLOOKUP(VLOOKUP($A113,Centrum!$D$3:$M$130,10,0),Centrum!$A$3:$CB$130,AD$132,0))</f>
        <v/>
      </c>
      <c r="AK113" s="333" t="str">
        <f>IF(OR($A113="",TYPE(VLOOKUP($A113,Centrum!$D$3:$M$130,10,0))&gt;3),"",VLOOKUP(VLOOKUP($A113,Centrum!$D$3:$M$130,10,0),Centrum!$A$3:$CB$130,AK$132,0))</f>
        <v/>
      </c>
      <c r="AL113" s="333" t="str">
        <f>IF(OR($A113="",TYPE(VLOOKUP($A113,Centrum!$D$3:$M$130,10,0))&gt;3),"",VLOOKUP(VLOOKUP($A113,Centrum!$D$3:$M$130,10,0),Centrum!$A$3:$CB$130,AL$132,0))</f>
        <v/>
      </c>
      <c r="AM113" s="333" t="str">
        <f>IF(OR($A113="",TYPE(VLOOKUP($A113,Centrum!$D$3:$M$130,10,0))&gt;3),"",VLOOKUP(VLOOKUP($A113,Centrum!$D$3:$M$130,10,0),Centrum!$A$3:$CB$130,AM$132,0))</f>
        <v/>
      </c>
      <c r="AT113" s="333" t="str">
        <f>IF(OR(OR($A113="",TYPE(VLOOKUP($A113,Centrum!$D$3:$M$130,10,0))&gt;3),$A$1&lt;4),"",VLOOKUP(VLOOKUP($A113,Centrum!$D$3:$M$130,10,0),Centrum!$A$3:$CB$130,AT$132,0))</f>
        <v/>
      </c>
      <c r="AU113" s="333" t="str">
        <f>IF(OR(OR($A113="",TYPE(VLOOKUP($A113,Centrum!$D$3:$M$130,10,0))&gt;3),$A$1&lt;4),"",VLOOKUP(VLOOKUP($A113,Centrum!$D$3:$M$130,10,0),Centrum!$A$3:$CB$130,AU$132,0))</f>
        <v/>
      </c>
      <c r="AV113" s="333" t="str">
        <f>IF(OR(OR($A113="",TYPE(VLOOKUP($A113,Centrum!$D$3:$M$130,10,0))&gt;3),$A$1&lt;4),"",VLOOKUP(VLOOKUP($A113,Centrum!$D$3:$M$130,10,0),Centrum!$A$3:$CB$130,AV$132,0))</f>
        <v/>
      </c>
      <c r="BC113" s="333" t="str">
        <f>IF(OR(OR($A113="",TYPE(VLOOKUP($A113,Centrum!$D$3:$M$130,10,0))&gt;3),$A$1&lt;5),"",VLOOKUP(VLOOKUP($A113,Centrum!$D$3:$M$130,10,0),Centrum!$A$3:$CB$130,BC$132,0))</f>
        <v/>
      </c>
      <c r="BD113" s="333" t="str">
        <f>IF(OR(OR($A113="",TYPE(VLOOKUP($A113,Centrum!$D$3:$M$130,10,0))&gt;3),$A$1&lt;5),"",VLOOKUP(VLOOKUP($A113,Centrum!$D$3:$M$130,10,0),Centrum!$A$3:$CB$130,BD$132,0))</f>
        <v/>
      </c>
      <c r="BE113" s="333" t="str">
        <f>IF(OR(OR($A113="",TYPE(VLOOKUP($A113,Centrum!$D$3:$M$130,10,0))&gt;3),$A$1&lt;5),"",VLOOKUP(VLOOKUP($A113,Centrum!$D$3:$M$130,10,0),Centrum!$A$3:$CB$130,BE$132,0))</f>
        <v/>
      </c>
      <c r="BL113" s="333" t="str">
        <f>IF(OR(OR($A113="",TYPE(VLOOKUP($A113,Centrum!$D$3:$M$130,10,0))&gt;3),$A$1&lt;6),"",VLOOKUP(VLOOKUP($A113,Centrum!$D$3:$M$130,10,0),Centrum!$A$3:$CB$130,BL$132,0))</f>
        <v/>
      </c>
      <c r="BM113" s="333" t="str">
        <f>IF(OR(OR($A113="",TYPE(VLOOKUP($A113,Centrum!$D$3:$M$130,10,0))&gt;3),$A$1&lt;6),"",VLOOKUP(VLOOKUP($A113,Centrum!$D$3:$M$130,10,0),Centrum!$A$3:$CB$130,BM$132,0))</f>
        <v/>
      </c>
      <c r="BN113" s="333" t="str">
        <f>IF(OR(OR($A113="",TYPE(VLOOKUP($A113,Centrum!$D$3:$M$130,10,0))&gt;3),$A$1&lt;6),"",VLOOKUP(VLOOKUP($A113,Centrum!$D$3:$M$130,10,0),Centrum!$A$3:$CB$130,BN$132,0))</f>
        <v/>
      </c>
    </row>
    <row r="114" spans="1:66" x14ac:dyDescent="0.25">
      <c r="A114" s="333" t="str">
        <f>Centrum!A114</f>
        <v/>
      </c>
      <c r="B114" s="439" t="str">
        <f>IF(OR($A114="",TYPE(VLOOKUP($A114,Centrum!$D$3:$M$130,10,0))&gt;3),"",VLOOKUP(VLOOKUP(A114,Centrum!$D$3:$M$130,10,0),Centrum!$A$3:$CB$130,B$132,0))</f>
        <v/>
      </c>
      <c r="C114" s="333" t="str">
        <f>IF(OR($A114="",TYPE(VLOOKUP($A114,Centrum!$D$3:$M$130,10,0))&gt;3),"",VLOOKUP($A114,Centrum!$D$3:$M$130,10,0))</f>
        <v/>
      </c>
      <c r="E114" s="333" t="str">
        <f>IF(OR($A114="",TYPE(VLOOKUP($A114,Centrum!$D$3:$M$130,10,0))&gt;3),"",VLOOKUP(VLOOKUP($A114,Centrum!$D$3:$M$130,10,0),Centrum!$A$3:$CB$130,E$132,0))</f>
        <v/>
      </c>
      <c r="F114" s="333" t="str">
        <f>IF(OR($A114="",TYPE(VLOOKUP($A114,Centrum!$D$3:$M$130,10,0))&gt;3),"",VLOOKUP(VLOOKUP($A114,Centrum!$D$3:$M$130,10,0),Centrum!$A$3:$CB$130,F$132,0))</f>
        <v/>
      </c>
      <c r="G114" s="333" t="str">
        <f>IF(OR($A114="",TYPE(VLOOKUP($A114,Centrum!$D$3:$M$130,10,0))&gt;3),"",VLOOKUP(VLOOKUP($A114,Centrum!$D$3:$M$130,10,0),Centrum!$A$3:$CB$130,G$132,0))</f>
        <v/>
      </c>
      <c r="H114" s="333" t="str">
        <f>IF($A114="","",VLOOKUP(VLOOKUP($A114,Centrum!$D$3:$M$130,10,0),Centrum!$A$3:$CB$130,H$132,0))</f>
        <v/>
      </c>
      <c r="I114" s="333" t="str">
        <f>IF($A114="","",VLOOKUP(VLOOKUP($A114,Centrum!$D$3:$M$130,10,0),Centrum!$A$3:$CB$130,I$132,0))</f>
        <v/>
      </c>
      <c r="J114" s="333" t="str">
        <f>IF(OR($A114="",TYPE(VLOOKUP($A114,Centrum!$D$3:$M$130,10,0))&gt;3),"",VLOOKUP(VLOOKUP($A114,Centrum!$D$3:$M$130,10,0),Centrum!$A$3:$CB$130,J$132,0))</f>
        <v/>
      </c>
      <c r="L114" s="333" t="str">
        <f>IF(OR($A114="",TYPE(VLOOKUP($A114,Centrum!$D$3:$M$130,10,0))&gt;3),"",VLOOKUP(VLOOKUP($A114,Centrum!$D$3:$M$130,10,0),Centrum!$A$3:$CB$130,L$132,0))</f>
        <v/>
      </c>
      <c r="M114" s="333" t="str">
        <f>IF(OR($A114="",TYPE(VLOOKUP($A114,Centrum!$D$3:$M$130,10,0))&gt;3),"",VLOOKUP(VLOOKUP($A114,Centrum!$D$3:$M$130,10,0),Centrum!$A$3:$CB$130,M$132,0))</f>
        <v/>
      </c>
      <c r="N114" s="333" t="str">
        <f>IF(OR($A114="",TYPE(VLOOKUP($A114,Centrum!$D$3:$M$130,10,0))&gt;3),"",VLOOKUP(VLOOKUP($A114,Centrum!$D$3:$M$130,10,0),Centrum!$A$3:$CB$130,N$132,0))</f>
        <v/>
      </c>
      <c r="O114" s="333" t="str">
        <f>IF(OR($A114="",TYPE(VLOOKUP($A114,Centrum!$D$3:$M$130,10,0))&gt;3),"",VLOOKUP(VLOOKUP($A114,Centrum!$D$3:$M$130,10,0),Centrum!$A$3:$CB$130,O$132,0))</f>
        <v/>
      </c>
      <c r="P114" s="333" t="str">
        <f>IF(OR($A114="",TYPE(VLOOKUP($A114,Centrum!$D$3:$M$130,10,0))&gt;3),"",VLOOKUP(VLOOKUP($A114,Centrum!$D$3:$M$130,10,0),Centrum!$A$3:$CB$130,P$132,0))</f>
        <v/>
      </c>
      <c r="Q114" s="333" t="str">
        <f>IF(OR($A114="",TYPE(VLOOKUP($A114,Centrum!$D$3:$M$130,10,0))&gt;3),"",VLOOKUP(VLOOKUP($A114,Centrum!$D$3:$M$130,10,0),Centrum!$A$3:$CB$130,Q$132,0))</f>
        <v/>
      </c>
      <c r="S114" s="333" t="str">
        <f>IF(OR($A114="",TYPE(VLOOKUP($A114,Centrum!$D$3:$M$130,10,0))&gt;3),"",VLOOKUP(VLOOKUP($A114,Centrum!$D$3:$M$130,10,0),Centrum!$A$3:$CB$130,S$132,0))</f>
        <v/>
      </c>
      <c r="T114" s="333" t="str">
        <f>IF(OR($A114="",TYPE(VLOOKUP($A114,Centrum!$D$3:$M$130,10,0))&gt;3),"",VLOOKUP(VLOOKUP($A114,Centrum!$D$3:$M$130,10,0),Centrum!$A$3:$CB$130,T$132,0))</f>
        <v/>
      </c>
      <c r="U114" s="333" t="str">
        <f>IF(OR($A114="",TYPE(VLOOKUP($A114,Centrum!$D$3:$M$130,10,0))&gt;3),"",VLOOKUP(VLOOKUP($A114,Centrum!$D$3:$M$130,10,0),Centrum!$A$3:$CB$130,U$132,0))</f>
        <v/>
      </c>
      <c r="AB114" s="333" t="str">
        <f>IF(OR($A114="",TYPE(VLOOKUP($A114,Centrum!$D$3:$M$130,10,0))&gt;3),"",VLOOKUP(VLOOKUP($A114,Centrum!$D$3:$M$130,10,0),Centrum!$A$3:$CB$130,AB$132,0))</f>
        <v/>
      </c>
      <c r="AC114" s="333" t="str">
        <f>IF(OR($A114="",TYPE(VLOOKUP($A114,Centrum!$D$3:$M$130,10,0))&gt;3),"",VLOOKUP(VLOOKUP($A114,Centrum!$D$3:$M$130,10,0),Centrum!$A$3:$CB$130,AC$132,0))</f>
        <v/>
      </c>
      <c r="AD114" s="333" t="str">
        <f>IF(OR($A114="",TYPE(VLOOKUP($A114,Centrum!$D$3:$M$130,10,0))&gt;3),"",VLOOKUP(VLOOKUP($A114,Centrum!$D$3:$M$130,10,0),Centrum!$A$3:$CB$130,AD$132,0))</f>
        <v/>
      </c>
      <c r="AK114" s="333" t="str">
        <f>IF(OR($A114="",TYPE(VLOOKUP($A114,Centrum!$D$3:$M$130,10,0))&gt;3),"",VLOOKUP(VLOOKUP($A114,Centrum!$D$3:$M$130,10,0),Centrum!$A$3:$CB$130,AK$132,0))</f>
        <v/>
      </c>
      <c r="AL114" s="333" t="str">
        <f>IF(OR($A114="",TYPE(VLOOKUP($A114,Centrum!$D$3:$M$130,10,0))&gt;3),"",VLOOKUP(VLOOKUP($A114,Centrum!$D$3:$M$130,10,0),Centrum!$A$3:$CB$130,AL$132,0))</f>
        <v/>
      </c>
      <c r="AM114" s="333" t="str">
        <f>IF(OR($A114="",TYPE(VLOOKUP($A114,Centrum!$D$3:$M$130,10,0))&gt;3),"",VLOOKUP(VLOOKUP($A114,Centrum!$D$3:$M$130,10,0),Centrum!$A$3:$CB$130,AM$132,0))</f>
        <v/>
      </c>
      <c r="AT114" s="333" t="str">
        <f>IF(OR(OR($A114="",TYPE(VLOOKUP($A114,Centrum!$D$3:$M$130,10,0))&gt;3),$A$1&lt;4),"",VLOOKUP(VLOOKUP($A114,Centrum!$D$3:$M$130,10,0),Centrum!$A$3:$CB$130,AT$132,0))</f>
        <v/>
      </c>
      <c r="AU114" s="333" t="str">
        <f>IF(OR(OR($A114="",TYPE(VLOOKUP($A114,Centrum!$D$3:$M$130,10,0))&gt;3),$A$1&lt;4),"",VLOOKUP(VLOOKUP($A114,Centrum!$D$3:$M$130,10,0),Centrum!$A$3:$CB$130,AU$132,0))</f>
        <v/>
      </c>
      <c r="AV114" s="333" t="str">
        <f>IF(OR(OR($A114="",TYPE(VLOOKUP($A114,Centrum!$D$3:$M$130,10,0))&gt;3),$A$1&lt;4),"",VLOOKUP(VLOOKUP($A114,Centrum!$D$3:$M$130,10,0),Centrum!$A$3:$CB$130,AV$132,0))</f>
        <v/>
      </c>
      <c r="BC114" s="333" t="str">
        <f>IF(OR(OR($A114="",TYPE(VLOOKUP($A114,Centrum!$D$3:$M$130,10,0))&gt;3),$A$1&lt;5),"",VLOOKUP(VLOOKUP($A114,Centrum!$D$3:$M$130,10,0),Centrum!$A$3:$CB$130,BC$132,0))</f>
        <v/>
      </c>
      <c r="BD114" s="333" t="str">
        <f>IF(OR(OR($A114="",TYPE(VLOOKUP($A114,Centrum!$D$3:$M$130,10,0))&gt;3),$A$1&lt;5),"",VLOOKUP(VLOOKUP($A114,Centrum!$D$3:$M$130,10,0),Centrum!$A$3:$CB$130,BD$132,0))</f>
        <v/>
      </c>
      <c r="BE114" s="333" t="str">
        <f>IF(OR(OR($A114="",TYPE(VLOOKUP($A114,Centrum!$D$3:$M$130,10,0))&gt;3),$A$1&lt;5),"",VLOOKUP(VLOOKUP($A114,Centrum!$D$3:$M$130,10,0),Centrum!$A$3:$CB$130,BE$132,0))</f>
        <v/>
      </c>
      <c r="BL114" s="333" t="str">
        <f>IF(OR(OR($A114="",TYPE(VLOOKUP($A114,Centrum!$D$3:$M$130,10,0))&gt;3),$A$1&lt;6),"",VLOOKUP(VLOOKUP($A114,Centrum!$D$3:$M$130,10,0),Centrum!$A$3:$CB$130,BL$132,0))</f>
        <v/>
      </c>
      <c r="BM114" s="333" t="str">
        <f>IF(OR(OR($A114="",TYPE(VLOOKUP($A114,Centrum!$D$3:$M$130,10,0))&gt;3),$A$1&lt;6),"",VLOOKUP(VLOOKUP($A114,Centrum!$D$3:$M$130,10,0),Centrum!$A$3:$CB$130,BM$132,0))</f>
        <v/>
      </c>
      <c r="BN114" s="333" t="str">
        <f>IF(OR(OR($A114="",TYPE(VLOOKUP($A114,Centrum!$D$3:$M$130,10,0))&gt;3),$A$1&lt;6),"",VLOOKUP(VLOOKUP($A114,Centrum!$D$3:$M$130,10,0),Centrum!$A$3:$CB$130,BN$132,0))</f>
        <v/>
      </c>
    </row>
    <row r="115" spans="1:66" x14ac:dyDescent="0.25">
      <c r="A115" s="333" t="str">
        <f>Centrum!A115</f>
        <v/>
      </c>
      <c r="B115" s="439" t="str">
        <f>IF(OR($A115="",TYPE(VLOOKUP($A115,Centrum!$D$3:$M$130,10,0))&gt;3),"",VLOOKUP(VLOOKUP(A115,Centrum!$D$3:$M$130,10,0),Centrum!$A$3:$CB$130,B$132,0))</f>
        <v/>
      </c>
      <c r="C115" s="333" t="str">
        <f>IF(OR($A115="",TYPE(VLOOKUP($A115,Centrum!$D$3:$M$130,10,0))&gt;3),"",VLOOKUP($A115,Centrum!$D$3:$M$130,10,0))</f>
        <v/>
      </c>
      <c r="E115" s="333" t="str">
        <f>IF(OR($A115="",TYPE(VLOOKUP($A115,Centrum!$D$3:$M$130,10,0))&gt;3),"",VLOOKUP(VLOOKUP($A115,Centrum!$D$3:$M$130,10,0),Centrum!$A$3:$CB$130,E$132,0))</f>
        <v/>
      </c>
      <c r="F115" s="333" t="str">
        <f>IF(OR($A115="",TYPE(VLOOKUP($A115,Centrum!$D$3:$M$130,10,0))&gt;3),"",VLOOKUP(VLOOKUP($A115,Centrum!$D$3:$M$130,10,0),Centrum!$A$3:$CB$130,F$132,0))</f>
        <v/>
      </c>
      <c r="G115" s="333" t="str">
        <f>IF(OR($A115="",TYPE(VLOOKUP($A115,Centrum!$D$3:$M$130,10,0))&gt;3),"",VLOOKUP(VLOOKUP($A115,Centrum!$D$3:$M$130,10,0),Centrum!$A$3:$CB$130,G$132,0))</f>
        <v/>
      </c>
      <c r="H115" s="333" t="str">
        <f>IF($A115="","",VLOOKUP(VLOOKUP($A115,Centrum!$D$3:$M$130,10,0),Centrum!$A$3:$CB$130,H$132,0))</f>
        <v/>
      </c>
      <c r="I115" s="333" t="str">
        <f>IF($A115="","",VLOOKUP(VLOOKUP($A115,Centrum!$D$3:$M$130,10,0),Centrum!$A$3:$CB$130,I$132,0))</f>
        <v/>
      </c>
      <c r="J115" s="333" t="str">
        <f>IF(OR($A115="",TYPE(VLOOKUP($A115,Centrum!$D$3:$M$130,10,0))&gt;3),"",VLOOKUP(VLOOKUP($A115,Centrum!$D$3:$M$130,10,0),Centrum!$A$3:$CB$130,J$132,0))</f>
        <v/>
      </c>
      <c r="L115" s="333" t="str">
        <f>IF(OR($A115="",TYPE(VLOOKUP($A115,Centrum!$D$3:$M$130,10,0))&gt;3),"",VLOOKUP(VLOOKUP($A115,Centrum!$D$3:$M$130,10,0),Centrum!$A$3:$CB$130,L$132,0))</f>
        <v/>
      </c>
      <c r="M115" s="333" t="str">
        <f>IF(OR($A115="",TYPE(VLOOKUP($A115,Centrum!$D$3:$M$130,10,0))&gt;3),"",VLOOKUP(VLOOKUP($A115,Centrum!$D$3:$M$130,10,0),Centrum!$A$3:$CB$130,M$132,0))</f>
        <v/>
      </c>
      <c r="N115" s="333" t="str">
        <f>IF(OR($A115="",TYPE(VLOOKUP($A115,Centrum!$D$3:$M$130,10,0))&gt;3),"",VLOOKUP(VLOOKUP($A115,Centrum!$D$3:$M$130,10,0),Centrum!$A$3:$CB$130,N$132,0))</f>
        <v/>
      </c>
      <c r="O115" s="333" t="str">
        <f>IF(OR($A115="",TYPE(VLOOKUP($A115,Centrum!$D$3:$M$130,10,0))&gt;3),"",VLOOKUP(VLOOKUP($A115,Centrum!$D$3:$M$130,10,0),Centrum!$A$3:$CB$130,O$132,0))</f>
        <v/>
      </c>
      <c r="P115" s="333" t="str">
        <f>IF(OR($A115="",TYPE(VLOOKUP($A115,Centrum!$D$3:$M$130,10,0))&gt;3),"",VLOOKUP(VLOOKUP($A115,Centrum!$D$3:$M$130,10,0),Centrum!$A$3:$CB$130,P$132,0))</f>
        <v/>
      </c>
      <c r="Q115" s="333" t="str">
        <f>IF(OR($A115="",TYPE(VLOOKUP($A115,Centrum!$D$3:$M$130,10,0))&gt;3),"",VLOOKUP(VLOOKUP($A115,Centrum!$D$3:$M$130,10,0),Centrum!$A$3:$CB$130,Q$132,0))</f>
        <v/>
      </c>
      <c r="S115" s="333" t="str">
        <f>IF(OR($A115="",TYPE(VLOOKUP($A115,Centrum!$D$3:$M$130,10,0))&gt;3),"",VLOOKUP(VLOOKUP($A115,Centrum!$D$3:$M$130,10,0),Centrum!$A$3:$CB$130,S$132,0))</f>
        <v/>
      </c>
      <c r="T115" s="333" t="str">
        <f>IF(OR($A115="",TYPE(VLOOKUP($A115,Centrum!$D$3:$M$130,10,0))&gt;3),"",VLOOKUP(VLOOKUP($A115,Centrum!$D$3:$M$130,10,0),Centrum!$A$3:$CB$130,T$132,0))</f>
        <v/>
      </c>
      <c r="U115" s="333" t="str">
        <f>IF(OR($A115="",TYPE(VLOOKUP($A115,Centrum!$D$3:$M$130,10,0))&gt;3),"",VLOOKUP(VLOOKUP($A115,Centrum!$D$3:$M$130,10,0),Centrum!$A$3:$CB$130,U$132,0))</f>
        <v/>
      </c>
      <c r="AB115" s="333" t="str">
        <f>IF(OR($A115="",TYPE(VLOOKUP($A115,Centrum!$D$3:$M$130,10,0))&gt;3),"",VLOOKUP(VLOOKUP($A115,Centrum!$D$3:$M$130,10,0),Centrum!$A$3:$CB$130,AB$132,0))</f>
        <v/>
      </c>
      <c r="AC115" s="333" t="str">
        <f>IF(OR($A115="",TYPE(VLOOKUP($A115,Centrum!$D$3:$M$130,10,0))&gt;3),"",VLOOKUP(VLOOKUP($A115,Centrum!$D$3:$M$130,10,0),Centrum!$A$3:$CB$130,AC$132,0))</f>
        <v/>
      </c>
      <c r="AD115" s="333" t="str">
        <f>IF(OR($A115="",TYPE(VLOOKUP($A115,Centrum!$D$3:$M$130,10,0))&gt;3),"",VLOOKUP(VLOOKUP($A115,Centrum!$D$3:$M$130,10,0),Centrum!$A$3:$CB$130,AD$132,0))</f>
        <v/>
      </c>
      <c r="AK115" s="333" t="str">
        <f>IF(OR($A115="",TYPE(VLOOKUP($A115,Centrum!$D$3:$M$130,10,0))&gt;3),"",VLOOKUP(VLOOKUP($A115,Centrum!$D$3:$M$130,10,0),Centrum!$A$3:$CB$130,AK$132,0))</f>
        <v/>
      </c>
      <c r="AL115" s="333" t="str">
        <f>IF(OR($A115="",TYPE(VLOOKUP($A115,Centrum!$D$3:$M$130,10,0))&gt;3),"",VLOOKUP(VLOOKUP($A115,Centrum!$D$3:$M$130,10,0),Centrum!$A$3:$CB$130,AL$132,0))</f>
        <v/>
      </c>
      <c r="AM115" s="333" t="str">
        <f>IF(OR($A115="",TYPE(VLOOKUP($A115,Centrum!$D$3:$M$130,10,0))&gt;3),"",VLOOKUP(VLOOKUP($A115,Centrum!$D$3:$M$130,10,0),Centrum!$A$3:$CB$130,AM$132,0))</f>
        <v/>
      </c>
      <c r="AT115" s="333" t="str">
        <f>IF(OR(OR($A115="",TYPE(VLOOKUP($A115,Centrum!$D$3:$M$130,10,0))&gt;3),$A$1&lt;4),"",VLOOKUP(VLOOKUP($A115,Centrum!$D$3:$M$130,10,0),Centrum!$A$3:$CB$130,AT$132,0))</f>
        <v/>
      </c>
      <c r="AU115" s="333" t="str">
        <f>IF(OR(OR($A115="",TYPE(VLOOKUP($A115,Centrum!$D$3:$M$130,10,0))&gt;3),$A$1&lt;4),"",VLOOKUP(VLOOKUP($A115,Centrum!$D$3:$M$130,10,0),Centrum!$A$3:$CB$130,AU$132,0))</f>
        <v/>
      </c>
      <c r="AV115" s="333" t="str">
        <f>IF(OR(OR($A115="",TYPE(VLOOKUP($A115,Centrum!$D$3:$M$130,10,0))&gt;3),$A$1&lt;4),"",VLOOKUP(VLOOKUP($A115,Centrum!$D$3:$M$130,10,0),Centrum!$A$3:$CB$130,AV$132,0))</f>
        <v/>
      </c>
      <c r="BC115" s="333" t="str">
        <f>IF(OR(OR($A115="",TYPE(VLOOKUP($A115,Centrum!$D$3:$M$130,10,0))&gt;3),$A$1&lt;5),"",VLOOKUP(VLOOKUP($A115,Centrum!$D$3:$M$130,10,0),Centrum!$A$3:$CB$130,BC$132,0))</f>
        <v/>
      </c>
      <c r="BD115" s="333" t="str">
        <f>IF(OR(OR($A115="",TYPE(VLOOKUP($A115,Centrum!$D$3:$M$130,10,0))&gt;3),$A$1&lt;5),"",VLOOKUP(VLOOKUP($A115,Centrum!$D$3:$M$130,10,0),Centrum!$A$3:$CB$130,BD$132,0))</f>
        <v/>
      </c>
      <c r="BE115" s="333" t="str">
        <f>IF(OR(OR($A115="",TYPE(VLOOKUP($A115,Centrum!$D$3:$M$130,10,0))&gt;3),$A$1&lt;5),"",VLOOKUP(VLOOKUP($A115,Centrum!$D$3:$M$130,10,0),Centrum!$A$3:$CB$130,BE$132,0))</f>
        <v/>
      </c>
      <c r="BL115" s="333" t="str">
        <f>IF(OR(OR($A115="",TYPE(VLOOKUP($A115,Centrum!$D$3:$M$130,10,0))&gt;3),$A$1&lt;6),"",VLOOKUP(VLOOKUP($A115,Centrum!$D$3:$M$130,10,0),Centrum!$A$3:$CB$130,BL$132,0))</f>
        <v/>
      </c>
      <c r="BM115" s="333" t="str">
        <f>IF(OR(OR($A115="",TYPE(VLOOKUP($A115,Centrum!$D$3:$M$130,10,0))&gt;3),$A$1&lt;6),"",VLOOKUP(VLOOKUP($A115,Centrum!$D$3:$M$130,10,0),Centrum!$A$3:$CB$130,BM$132,0))</f>
        <v/>
      </c>
      <c r="BN115" s="333" t="str">
        <f>IF(OR(OR($A115="",TYPE(VLOOKUP($A115,Centrum!$D$3:$M$130,10,0))&gt;3),$A$1&lt;6),"",VLOOKUP(VLOOKUP($A115,Centrum!$D$3:$M$130,10,0),Centrum!$A$3:$CB$130,BN$132,0))</f>
        <v/>
      </c>
    </row>
    <row r="116" spans="1:66" x14ac:dyDescent="0.25">
      <c r="A116" s="333" t="str">
        <f>Centrum!A116</f>
        <v/>
      </c>
      <c r="B116" s="439" t="str">
        <f>IF(OR($A116="",TYPE(VLOOKUP($A116,Centrum!$D$3:$M$130,10,0))&gt;3),"",VLOOKUP(VLOOKUP(A116,Centrum!$D$3:$M$130,10,0),Centrum!$A$3:$CB$130,B$132,0))</f>
        <v/>
      </c>
      <c r="C116" s="333" t="str">
        <f>IF(OR($A116="",TYPE(VLOOKUP($A116,Centrum!$D$3:$M$130,10,0))&gt;3),"",VLOOKUP($A116,Centrum!$D$3:$M$130,10,0))</f>
        <v/>
      </c>
      <c r="E116" s="333" t="str">
        <f>IF(OR($A116="",TYPE(VLOOKUP($A116,Centrum!$D$3:$M$130,10,0))&gt;3),"",VLOOKUP(VLOOKUP($A116,Centrum!$D$3:$M$130,10,0),Centrum!$A$3:$CB$130,E$132,0))</f>
        <v/>
      </c>
      <c r="F116" s="333" t="str">
        <f>IF(OR($A116="",TYPE(VLOOKUP($A116,Centrum!$D$3:$M$130,10,0))&gt;3),"",VLOOKUP(VLOOKUP($A116,Centrum!$D$3:$M$130,10,0),Centrum!$A$3:$CB$130,F$132,0))</f>
        <v/>
      </c>
      <c r="G116" s="333" t="str">
        <f>IF(OR($A116="",TYPE(VLOOKUP($A116,Centrum!$D$3:$M$130,10,0))&gt;3),"",VLOOKUP(VLOOKUP($A116,Centrum!$D$3:$M$130,10,0),Centrum!$A$3:$CB$130,G$132,0))</f>
        <v/>
      </c>
      <c r="H116" s="333" t="str">
        <f>IF($A116="","",VLOOKUP(VLOOKUP($A116,Centrum!$D$3:$M$130,10,0),Centrum!$A$3:$CB$130,H$132,0))</f>
        <v/>
      </c>
      <c r="I116" s="333" t="str">
        <f>IF($A116="","",VLOOKUP(VLOOKUP($A116,Centrum!$D$3:$M$130,10,0),Centrum!$A$3:$CB$130,I$132,0))</f>
        <v/>
      </c>
      <c r="J116" s="333" t="str">
        <f>IF(OR($A116="",TYPE(VLOOKUP($A116,Centrum!$D$3:$M$130,10,0))&gt;3),"",VLOOKUP(VLOOKUP($A116,Centrum!$D$3:$M$130,10,0),Centrum!$A$3:$CB$130,J$132,0))</f>
        <v/>
      </c>
      <c r="L116" s="333" t="str">
        <f>IF(OR($A116="",TYPE(VLOOKUP($A116,Centrum!$D$3:$M$130,10,0))&gt;3),"",VLOOKUP(VLOOKUP($A116,Centrum!$D$3:$M$130,10,0),Centrum!$A$3:$CB$130,L$132,0))</f>
        <v/>
      </c>
      <c r="M116" s="333" t="str">
        <f>IF(OR($A116="",TYPE(VLOOKUP($A116,Centrum!$D$3:$M$130,10,0))&gt;3),"",VLOOKUP(VLOOKUP($A116,Centrum!$D$3:$M$130,10,0),Centrum!$A$3:$CB$130,M$132,0))</f>
        <v/>
      </c>
      <c r="N116" s="333" t="str">
        <f>IF(OR($A116="",TYPE(VLOOKUP($A116,Centrum!$D$3:$M$130,10,0))&gt;3),"",VLOOKUP(VLOOKUP($A116,Centrum!$D$3:$M$130,10,0),Centrum!$A$3:$CB$130,N$132,0))</f>
        <v/>
      </c>
      <c r="O116" s="333" t="str">
        <f>IF(OR($A116="",TYPE(VLOOKUP($A116,Centrum!$D$3:$M$130,10,0))&gt;3),"",VLOOKUP(VLOOKUP($A116,Centrum!$D$3:$M$130,10,0),Centrum!$A$3:$CB$130,O$132,0))</f>
        <v/>
      </c>
      <c r="P116" s="333" t="str">
        <f>IF(OR($A116="",TYPE(VLOOKUP($A116,Centrum!$D$3:$M$130,10,0))&gt;3),"",VLOOKUP(VLOOKUP($A116,Centrum!$D$3:$M$130,10,0),Centrum!$A$3:$CB$130,P$132,0))</f>
        <v/>
      </c>
      <c r="Q116" s="333" t="str">
        <f>IF(OR($A116="",TYPE(VLOOKUP($A116,Centrum!$D$3:$M$130,10,0))&gt;3),"",VLOOKUP(VLOOKUP($A116,Centrum!$D$3:$M$130,10,0),Centrum!$A$3:$CB$130,Q$132,0))</f>
        <v/>
      </c>
      <c r="S116" s="333" t="str">
        <f>IF(OR($A116="",TYPE(VLOOKUP($A116,Centrum!$D$3:$M$130,10,0))&gt;3),"",VLOOKUP(VLOOKUP($A116,Centrum!$D$3:$M$130,10,0),Centrum!$A$3:$CB$130,S$132,0))</f>
        <v/>
      </c>
      <c r="T116" s="333" t="str">
        <f>IF(OR($A116="",TYPE(VLOOKUP($A116,Centrum!$D$3:$M$130,10,0))&gt;3),"",VLOOKUP(VLOOKUP($A116,Centrum!$D$3:$M$130,10,0),Centrum!$A$3:$CB$130,T$132,0))</f>
        <v/>
      </c>
      <c r="U116" s="333" t="str">
        <f>IF(OR($A116="",TYPE(VLOOKUP($A116,Centrum!$D$3:$M$130,10,0))&gt;3),"",VLOOKUP(VLOOKUP($A116,Centrum!$D$3:$M$130,10,0),Centrum!$A$3:$CB$130,U$132,0))</f>
        <v/>
      </c>
      <c r="AB116" s="333" t="str">
        <f>IF(OR($A116="",TYPE(VLOOKUP($A116,Centrum!$D$3:$M$130,10,0))&gt;3),"",VLOOKUP(VLOOKUP($A116,Centrum!$D$3:$M$130,10,0),Centrum!$A$3:$CB$130,AB$132,0))</f>
        <v/>
      </c>
      <c r="AC116" s="333" t="str">
        <f>IF(OR($A116="",TYPE(VLOOKUP($A116,Centrum!$D$3:$M$130,10,0))&gt;3),"",VLOOKUP(VLOOKUP($A116,Centrum!$D$3:$M$130,10,0),Centrum!$A$3:$CB$130,AC$132,0))</f>
        <v/>
      </c>
      <c r="AD116" s="333" t="str">
        <f>IF(OR($A116="",TYPE(VLOOKUP($A116,Centrum!$D$3:$M$130,10,0))&gt;3),"",VLOOKUP(VLOOKUP($A116,Centrum!$D$3:$M$130,10,0),Centrum!$A$3:$CB$130,AD$132,0))</f>
        <v/>
      </c>
      <c r="AK116" s="333" t="str">
        <f>IF(OR($A116="",TYPE(VLOOKUP($A116,Centrum!$D$3:$M$130,10,0))&gt;3),"",VLOOKUP(VLOOKUP($A116,Centrum!$D$3:$M$130,10,0),Centrum!$A$3:$CB$130,AK$132,0))</f>
        <v/>
      </c>
      <c r="AL116" s="333" t="str">
        <f>IF(OR($A116="",TYPE(VLOOKUP($A116,Centrum!$D$3:$M$130,10,0))&gt;3),"",VLOOKUP(VLOOKUP($A116,Centrum!$D$3:$M$130,10,0),Centrum!$A$3:$CB$130,AL$132,0))</f>
        <v/>
      </c>
      <c r="AM116" s="333" t="str">
        <f>IF(OR($A116="",TYPE(VLOOKUP($A116,Centrum!$D$3:$M$130,10,0))&gt;3),"",VLOOKUP(VLOOKUP($A116,Centrum!$D$3:$M$130,10,0),Centrum!$A$3:$CB$130,AM$132,0))</f>
        <v/>
      </c>
      <c r="AT116" s="333" t="str">
        <f>IF(OR(OR($A116="",TYPE(VLOOKUP($A116,Centrum!$D$3:$M$130,10,0))&gt;3),$A$1&lt;4),"",VLOOKUP(VLOOKUP($A116,Centrum!$D$3:$M$130,10,0),Centrum!$A$3:$CB$130,AT$132,0))</f>
        <v/>
      </c>
      <c r="AU116" s="333" t="str">
        <f>IF(OR(OR($A116="",TYPE(VLOOKUP($A116,Centrum!$D$3:$M$130,10,0))&gt;3),$A$1&lt;4),"",VLOOKUP(VLOOKUP($A116,Centrum!$D$3:$M$130,10,0),Centrum!$A$3:$CB$130,AU$132,0))</f>
        <v/>
      </c>
      <c r="AV116" s="333" t="str">
        <f>IF(OR(OR($A116="",TYPE(VLOOKUP($A116,Centrum!$D$3:$M$130,10,0))&gt;3),$A$1&lt;4),"",VLOOKUP(VLOOKUP($A116,Centrum!$D$3:$M$130,10,0),Centrum!$A$3:$CB$130,AV$132,0))</f>
        <v/>
      </c>
      <c r="BC116" s="333" t="str">
        <f>IF(OR(OR($A116="",TYPE(VLOOKUP($A116,Centrum!$D$3:$M$130,10,0))&gt;3),$A$1&lt;5),"",VLOOKUP(VLOOKUP($A116,Centrum!$D$3:$M$130,10,0),Centrum!$A$3:$CB$130,BC$132,0))</f>
        <v/>
      </c>
      <c r="BD116" s="333" t="str">
        <f>IF(OR(OR($A116="",TYPE(VLOOKUP($A116,Centrum!$D$3:$M$130,10,0))&gt;3),$A$1&lt;5),"",VLOOKUP(VLOOKUP($A116,Centrum!$D$3:$M$130,10,0),Centrum!$A$3:$CB$130,BD$132,0))</f>
        <v/>
      </c>
      <c r="BE116" s="333" t="str">
        <f>IF(OR(OR($A116="",TYPE(VLOOKUP($A116,Centrum!$D$3:$M$130,10,0))&gt;3),$A$1&lt;5),"",VLOOKUP(VLOOKUP($A116,Centrum!$D$3:$M$130,10,0),Centrum!$A$3:$CB$130,BE$132,0))</f>
        <v/>
      </c>
      <c r="BL116" s="333" t="str">
        <f>IF(OR(OR($A116="",TYPE(VLOOKUP($A116,Centrum!$D$3:$M$130,10,0))&gt;3),$A$1&lt;6),"",VLOOKUP(VLOOKUP($A116,Centrum!$D$3:$M$130,10,0),Centrum!$A$3:$CB$130,BL$132,0))</f>
        <v/>
      </c>
      <c r="BM116" s="333" t="str">
        <f>IF(OR(OR($A116="",TYPE(VLOOKUP($A116,Centrum!$D$3:$M$130,10,0))&gt;3),$A$1&lt;6),"",VLOOKUP(VLOOKUP($A116,Centrum!$D$3:$M$130,10,0),Centrum!$A$3:$CB$130,BM$132,0))</f>
        <v/>
      </c>
      <c r="BN116" s="333" t="str">
        <f>IF(OR(OR($A116="",TYPE(VLOOKUP($A116,Centrum!$D$3:$M$130,10,0))&gt;3),$A$1&lt;6),"",VLOOKUP(VLOOKUP($A116,Centrum!$D$3:$M$130,10,0),Centrum!$A$3:$CB$130,BN$132,0))</f>
        <v/>
      </c>
    </row>
    <row r="117" spans="1:66" x14ac:dyDescent="0.25">
      <c r="A117" s="333" t="str">
        <f>Centrum!A117</f>
        <v/>
      </c>
      <c r="B117" s="439" t="str">
        <f>IF(OR($A117="",TYPE(VLOOKUP($A117,Centrum!$D$3:$M$130,10,0))&gt;3),"",VLOOKUP(VLOOKUP(A117,Centrum!$D$3:$M$130,10,0),Centrum!$A$3:$CB$130,B$132,0))</f>
        <v/>
      </c>
      <c r="C117" s="333" t="str">
        <f>IF(OR($A117="",TYPE(VLOOKUP($A117,Centrum!$D$3:$M$130,10,0))&gt;3),"",VLOOKUP($A117,Centrum!$D$3:$M$130,10,0))</f>
        <v/>
      </c>
      <c r="E117" s="333" t="str">
        <f>IF(OR($A117="",TYPE(VLOOKUP($A117,Centrum!$D$3:$M$130,10,0))&gt;3),"",VLOOKUP(VLOOKUP($A117,Centrum!$D$3:$M$130,10,0),Centrum!$A$3:$CB$130,E$132,0))</f>
        <v/>
      </c>
      <c r="F117" s="333" t="str">
        <f>IF(OR($A117="",TYPE(VLOOKUP($A117,Centrum!$D$3:$M$130,10,0))&gt;3),"",VLOOKUP(VLOOKUP($A117,Centrum!$D$3:$M$130,10,0),Centrum!$A$3:$CB$130,F$132,0))</f>
        <v/>
      </c>
      <c r="G117" s="333" t="str">
        <f>IF(OR($A117="",TYPE(VLOOKUP($A117,Centrum!$D$3:$M$130,10,0))&gt;3),"",VLOOKUP(VLOOKUP($A117,Centrum!$D$3:$M$130,10,0),Centrum!$A$3:$CB$130,G$132,0))</f>
        <v/>
      </c>
      <c r="H117" s="333" t="str">
        <f>IF($A117="","",VLOOKUP(VLOOKUP($A117,Centrum!$D$3:$M$130,10,0),Centrum!$A$3:$CB$130,H$132,0))</f>
        <v/>
      </c>
      <c r="I117" s="333" t="str">
        <f>IF($A117="","",VLOOKUP(VLOOKUP($A117,Centrum!$D$3:$M$130,10,0),Centrum!$A$3:$CB$130,I$132,0))</f>
        <v/>
      </c>
      <c r="J117" s="333" t="str">
        <f>IF(OR($A117="",TYPE(VLOOKUP($A117,Centrum!$D$3:$M$130,10,0))&gt;3),"",VLOOKUP(VLOOKUP($A117,Centrum!$D$3:$M$130,10,0),Centrum!$A$3:$CB$130,J$132,0))</f>
        <v/>
      </c>
      <c r="L117" s="333" t="str">
        <f>IF(OR($A117="",TYPE(VLOOKUP($A117,Centrum!$D$3:$M$130,10,0))&gt;3),"",VLOOKUP(VLOOKUP($A117,Centrum!$D$3:$M$130,10,0),Centrum!$A$3:$CB$130,L$132,0))</f>
        <v/>
      </c>
      <c r="M117" s="333" t="str">
        <f>IF(OR($A117="",TYPE(VLOOKUP($A117,Centrum!$D$3:$M$130,10,0))&gt;3),"",VLOOKUP(VLOOKUP($A117,Centrum!$D$3:$M$130,10,0),Centrum!$A$3:$CB$130,M$132,0))</f>
        <v/>
      </c>
      <c r="N117" s="333" t="str">
        <f>IF(OR($A117="",TYPE(VLOOKUP($A117,Centrum!$D$3:$M$130,10,0))&gt;3),"",VLOOKUP(VLOOKUP($A117,Centrum!$D$3:$M$130,10,0),Centrum!$A$3:$CB$130,N$132,0))</f>
        <v/>
      </c>
      <c r="O117" s="333" t="str">
        <f>IF(OR($A117="",TYPE(VLOOKUP($A117,Centrum!$D$3:$M$130,10,0))&gt;3),"",VLOOKUP(VLOOKUP($A117,Centrum!$D$3:$M$130,10,0),Centrum!$A$3:$CB$130,O$132,0))</f>
        <v/>
      </c>
      <c r="P117" s="333" t="str">
        <f>IF(OR($A117="",TYPE(VLOOKUP($A117,Centrum!$D$3:$M$130,10,0))&gt;3),"",VLOOKUP(VLOOKUP($A117,Centrum!$D$3:$M$130,10,0),Centrum!$A$3:$CB$130,P$132,0))</f>
        <v/>
      </c>
      <c r="Q117" s="333" t="str">
        <f>IF(OR($A117="",TYPE(VLOOKUP($A117,Centrum!$D$3:$M$130,10,0))&gt;3),"",VLOOKUP(VLOOKUP($A117,Centrum!$D$3:$M$130,10,0),Centrum!$A$3:$CB$130,Q$132,0))</f>
        <v/>
      </c>
      <c r="S117" s="333" t="str">
        <f>IF(OR($A117="",TYPE(VLOOKUP($A117,Centrum!$D$3:$M$130,10,0))&gt;3),"",VLOOKUP(VLOOKUP($A117,Centrum!$D$3:$M$130,10,0),Centrum!$A$3:$CB$130,S$132,0))</f>
        <v/>
      </c>
      <c r="T117" s="333" t="str">
        <f>IF(OR($A117="",TYPE(VLOOKUP($A117,Centrum!$D$3:$M$130,10,0))&gt;3),"",VLOOKUP(VLOOKUP($A117,Centrum!$D$3:$M$130,10,0),Centrum!$A$3:$CB$130,T$132,0))</f>
        <v/>
      </c>
      <c r="U117" s="333" t="str">
        <f>IF(OR($A117="",TYPE(VLOOKUP($A117,Centrum!$D$3:$M$130,10,0))&gt;3),"",VLOOKUP(VLOOKUP($A117,Centrum!$D$3:$M$130,10,0),Centrum!$A$3:$CB$130,U$132,0))</f>
        <v/>
      </c>
      <c r="AB117" s="333" t="str">
        <f>IF(OR($A117="",TYPE(VLOOKUP($A117,Centrum!$D$3:$M$130,10,0))&gt;3),"",VLOOKUP(VLOOKUP($A117,Centrum!$D$3:$M$130,10,0),Centrum!$A$3:$CB$130,AB$132,0))</f>
        <v/>
      </c>
      <c r="AC117" s="333" t="str">
        <f>IF(OR($A117="",TYPE(VLOOKUP($A117,Centrum!$D$3:$M$130,10,0))&gt;3),"",VLOOKUP(VLOOKUP($A117,Centrum!$D$3:$M$130,10,0),Centrum!$A$3:$CB$130,AC$132,0))</f>
        <v/>
      </c>
      <c r="AD117" s="333" t="str">
        <f>IF(OR($A117="",TYPE(VLOOKUP($A117,Centrum!$D$3:$M$130,10,0))&gt;3),"",VLOOKUP(VLOOKUP($A117,Centrum!$D$3:$M$130,10,0),Centrum!$A$3:$CB$130,AD$132,0))</f>
        <v/>
      </c>
      <c r="AK117" s="333" t="str">
        <f>IF(OR($A117="",TYPE(VLOOKUP($A117,Centrum!$D$3:$M$130,10,0))&gt;3),"",VLOOKUP(VLOOKUP($A117,Centrum!$D$3:$M$130,10,0),Centrum!$A$3:$CB$130,AK$132,0))</f>
        <v/>
      </c>
      <c r="AL117" s="333" t="str">
        <f>IF(OR($A117="",TYPE(VLOOKUP($A117,Centrum!$D$3:$M$130,10,0))&gt;3),"",VLOOKUP(VLOOKUP($A117,Centrum!$D$3:$M$130,10,0),Centrum!$A$3:$CB$130,AL$132,0))</f>
        <v/>
      </c>
      <c r="AM117" s="333" t="str">
        <f>IF(OR($A117="",TYPE(VLOOKUP($A117,Centrum!$D$3:$M$130,10,0))&gt;3),"",VLOOKUP(VLOOKUP($A117,Centrum!$D$3:$M$130,10,0),Centrum!$A$3:$CB$130,AM$132,0))</f>
        <v/>
      </c>
      <c r="AT117" s="333" t="str">
        <f>IF(OR(OR($A117="",TYPE(VLOOKUP($A117,Centrum!$D$3:$M$130,10,0))&gt;3),$A$1&lt;4),"",VLOOKUP(VLOOKUP($A117,Centrum!$D$3:$M$130,10,0),Centrum!$A$3:$CB$130,AT$132,0))</f>
        <v/>
      </c>
      <c r="AU117" s="333" t="str">
        <f>IF(OR(OR($A117="",TYPE(VLOOKUP($A117,Centrum!$D$3:$M$130,10,0))&gt;3),$A$1&lt;4),"",VLOOKUP(VLOOKUP($A117,Centrum!$D$3:$M$130,10,0),Centrum!$A$3:$CB$130,AU$132,0))</f>
        <v/>
      </c>
      <c r="AV117" s="333" t="str">
        <f>IF(OR(OR($A117="",TYPE(VLOOKUP($A117,Centrum!$D$3:$M$130,10,0))&gt;3),$A$1&lt;4),"",VLOOKUP(VLOOKUP($A117,Centrum!$D$3:$M$130,10,0),Centrum!$A$3:$CB$130,AV$132,0))</f>
        <v/>
      </c>
      <c r="BC117" s="333" t="str">
        <f>IF(OR(OR($A117="",TYPE(VLOOKUP($A117,Centrum!$D$3:$M$130,10,0))&gt;3),$A$1&lt;5),"",VLOOKUP(VLOOKUP($A117,Centrum!$D$3:$M$130,10,0),Centrum!$A$3:$CB$130,BC$132,0))</f>
        <v/>
      </c>
      <c r="BD117" s="333" t="str">
        <f>IF(OR(OR($A117="",TYPE(VLOOKUP($A117,Centrum!$D$3:$M$130,10,0))&gt;3),$A$1&lt;5),"",VLOOKUP(VLOOKUP($A117,Centrum!$D$3:$M$130,10,0),Centrum!$A$3:$CB$130,BD$132,0))</f>
        <v/>
      </c>
      <c r="BE117" s="333" t="str">
        <f>IF(OR(OR($A117="",TYPE(VLOOKUP($A117,Centrum!$D$3:$M$130,10,0))&gt;3),$A$1&lt;5),"",VLOOKUP(VLOOKUP($A117,Centrum!$D$3:$M$130,10,0),Centrum!$A$3:$CB$130,BE$132,0))</f>
        <v/>
      </c>
      <c r="BL117" s="333" t="str">
        <f>IF(OR(OR($A117="",TYPE(VLOOKUP($A117,Centrum!$D$3:$M$130,10,0))&gt;3),$A$1&lt;6),"",VLOOKUP(VLOOKUP($A117,Centrum!$D$3:$M$130,10,0),Centrum!$A$3:$CB$130,BL$132,0))</f>
        <v/>
      </c>
      <c r="BM117" s="333" t="str">
        <f>IF(OR(OR($A117="",TYPE(VLOOKUP($A117,Centrum!$D$3:$M$130,10,0))&gt;3),$A$1&lt;6),"",VLOOKUP(VLOOKUP($A117,Centrum!$D$3:$M$130,10,0),Centrum!$A$3:$CB$130,BM$132,0))</f>
        <v/>
      </c>
      <c r="BN117" s="333" t="str">
        <f>IF(OR(OR($A117="",TYPE(VLOOKUP($A117,Centrum!$D$3:$M$130,10,0))&gt;3),$A$1&lt;6),"",VLOOKUP(VLOOKUP($A117,Centrum!$D$3:$M$130,10,0),Centrum!$A$3:$CB$130,BN$132,0))</f>
        <v/>
      </c>
    </row>
    <row r="118" spans="1:66" x14ac:dyDescent="0.25">
      <c r="A118" s="333" t="str">
        <f>Centrum!A118</f>
        <v/>
      </c>
      <c r="B118" s="439" t="str">
        <f>IF(OR($A118="",TYPE(VLOOKUP($A118,Centrum!$D$3:$M$130,10,0))&gt;3),"",VLOOKUP(VLOOKUP(A118,Centrum!$D$3:$M$130,10,0),Centrum!$A$3:$CB$130,B$132,0))</f>
        <v/>
      </c>
      <c r="C118" s="333" t="str">
        <f>IF(OR($A118="",TYPE(VLOOKUP($A118,Centrum!$D$3:$M$130,10,0))&gt;3),"",VLOOKUP($A118,Centrum!$D$3:$M$130,10,0))</f>
        <v/>
      </c>
      <c r="E118" s="333" t="str">
        <f>IF(OR($A118="",TYPE(VLOOKUP($A118,Centrum!$D$3:$M$130,10,0))&gt;3),"",VLOOKUP(VLOOKUP($A118,Centrum!$D$3:$M$130,10,0),Centrum!$A$3:$CB$130,E$132,0))</f>
        <v/>
      </c>
      <c r="F118" s="333" t="str">
        <f>IF(OR($A118="",TYPE(VLOOKUP($A118,Centrum!$D$3:$M$130,10,0))&gt;3),"",VLOOKUP(VLOOKUP($A118,Centrum!$D$3:$M$130,10,0),Centrum!$A$3:$CB$130,F$132,0))</f>
        <v/>
      </c>
      <c r="G118" s="333" t="str">
        <f>IF(OR($A118="",TYPE(VLOOKUP($A118,Centrum!$D$3:$M$130,10,0))&gt;3),"",VLOOKUP(VLOOKUP($A118,Centrum!$D$3:$M$130,10,0),Centrum!$A$3:$CB$130,G$132,0))</f>
        <v/>
      </c>
      <c r="H118" s="333" t="str">
        <f>IF($A118="","",VLOOKUP(VLOOKUP($A118,Centrum!$D$3:$M$130,10,0),Centrum!$A$3:$CB$130,H$132,0))</f>
        <v/>
      </c>
      <c r="I118" s="333" t="str">
        <f>IF($A118="","",VLOOKUP(VLOOKUP($A118,Centrum!$D$3:$M$130,10,0),Centrum!$A$3:$CB$130,I$132,0))</f>
        <v/>
      </c>
      <c r="J118" s="333" t="str">
        <f>IF(OR($A118="",TYPE(VLOOKUP($A118,Centrum!$D$3:$M$130,10,0))&gt;3),"",VLOOKUP(VLOOKUP($A118,Centrum!$D$3:$M$130,10,0),Centrum!$A$3:$CB$130,J$132,0))</f>
        <v/>
      </c>
      <c r="L118" s="333" t="str">
        <f>IF(OR($A118="",TYPE(VLOOKUP($A118,Centrum!$D$3:$M$130,10,0))&gt;3),"",VLOOKUP(VLOOKUP($A118,Centrum!$D$3:$M$130,10,0),Centrum!$A$3:$CB$130,L$132,0))</f>
        <v/>
      </c>
      <c r="M118" s="333" t="str">
        <f>IF(OR($A118="",TYPE(VLOOKUP($A118,Centrum!$D$3:$M$130,10,0))&gt;3),"",VLOOKUP(VLOOKUP($A118,Centrum!$D$3:$M$130,10,0),Centrum!$A$3:$CB$130,M$132,0))</f>
        <v/>
      </c>
      <c r="N118" s="333" t="str">
        <f>IF(OR($A118="",TYPE(VLOOKUP($A118,Centrum!$D$3:$M$130,10,0))&gt;3),"",VLOOKUP(VLOOKUP($A118,Centrum!$D$3:$M$130,10,0),Centrum!$A$3:$CB$130,N$132,0))</f>
        <v/>
      </c>
      <c r="O118" s="333" t="str">
        <f>IF(OR($A118="",TYPE(VLOOKUP($A118,Centrum!$D$3:$M$130,10,0))&gt;3),"",VLOOKUP(VLOOKUP($A118,Centrum!$D$3:$M$130,10,0),Centrum!$A$3:$CB$130,O$132,0))</f>
        <v/>
      </c>
      <c r="P118" s="333" t="str">
        <f>IF(OR($A118="",TYPE(VLOOKUP($A118,Centrum!$D$3:$M$130,10,0))&gt;3),"",VLOOKUP(VLOOKUP($A118,Centrum!$D$3:$M$130,10,0),Centrum!$A$3:$CB$130,P$132,0))</f>
        <v/>
      </c>
      <c r="Q118" s="333" t="str">
        <f>IF(OR($A118="",TYPE(VLOOKUP($A118,Centrum!$D$3:$M$130,10,0))&gt;3),"",VLOOKUP(VLOOKUP($A118,Centrum!$D$3:$M$130,10,0),Centrum!$A$3:$CB$130,Q$132,0))</f>
        <v/>
      </c>
      <c r="S118" s="333" t="str">
        <f>IF(OR($A118="",TYPE(VLOOKUP($A118,Centrum!$D$3:$M$130,10,0))&gt;3),"",VLOOKUP(VLOOKUP($A118,Centrum!$D$3:$M$130,10,0),Centrum!$A$3:$CB$130,S$132,0))</f>
        <v/>
      </c>
      <c r="T118" s="333" t="str">
        <f>IF(OR($A118="",TYPE(VLOOKUP($A118,Centrum!$D$3:$M$130,10,0))&gt;3),"",VLOOKUP(VLOOKUP($A118,Centrum!$D$3:$M$130,10,0),Centrum!$A$3:$CB$130,T$132,0))</f>
        <v/>
      </c>
      <c r="U118" s="333" t="str">
        <f>IF(OR($A118="",TYPE(VLOOKUP($A118,Centrum!$D$3:$M$130,10,0))&gt;3),"",VLOOKUP(VLOOKUP($A118,Centrum!$D$3:$M$130,10,0),Centrum!$A$3:$CB$130,U$132,0))</f>
        <v/>
      </c>
      <c r="AB118" s="333" t="str">
        <f>IF(OR($A118="",TYPE(VLOOKUP($A118,Centrum!$D$3:$M$130,10,0))&gt;3),"",VLOOKUP(VLOOKUP($A118,Centrum!$D$3:$M$130,10,0),Centrum!$A$3:$CB$130,AB$132,0))</f>
        <v/>
      </c>
      <c r="AC118" s="333" t="str">
        <f>IF(OR($A118="",TYPE(VLOOKUP($A118,Centrum!$D$3:$M$130,10,0))&gt;3),"",VLOOKUP(VLOOKUP($A118,Centrum!$D$3:$M$130,10,0),Centrum!$A$3:$CB$130,AC$132,0))</f>
        <v/>
      </c>
      <c r="AD118" s="333" t="str">
        <f>IF(OR($A118="",TYPE(VLOOKUP($A118,Centrum!$D$3:$M$130,10,0))&gt;3),"",VLOOKUP(VLOOKUP($A118,Centrum!$D$3:$M$130,10,0),Centrum!$A$3:$CB$130,AD$132,0))</f>
        <v/>
      </c>
      <c r="AK118" s="333" t="str">
        <f>IF(OR($A118="",TYPE(VLOOKUP($A118,Centrum!$D$3:$M$130,10,0))&gt;3),"",VLOOKUP(VLOOKUP($A118,Centrum!$D$3:$M$130,10,0),Centrum!$A$3:$CB$130,AK$132,0))</f>
        <v/>
      </c>
      <c r="AL118" s="333" t="str">
        <f>IF(OR($A118="",TYPE(VLOOKUP($A118,Centrum!$D$3:$M$130,10,0))&gt;3),"",VLOOKUP(VLOOKUP($A118,Centrum!$D$3:$M$130,10,0),Centrum!$A$3:$CB$130,AL$132,0))</f>
        <v/>
      </c>
      <c r="AM118" s="333" t="str">
        <f>IF(OR($A118="",TYPE(VLOOKUP($A118,Centrum!$D$3:$M$130,10,0))&gt;3),"",VLOOKUP(VLOOKUP($A118,Centrum!$D$3:$M$130,10,0),Centrum!$A$3:$CB$130,AM$132,0))</f>
        <v/>
      </c>
      <c r="AT118" s="333" t="str">
        <f>IF(OR(OR($A118="",TYPE(VLOOKUP($A118,Centrum!$D$3:$M$130,10,0))&gt;3),$A$1&lt;4),"",VLOOKUP(VLOOKUP($A118,Centrum!$D$3:$M$130,10,0),Centrum!$A$3:$CB$130,AT$132,0))</f>
        <v/>
      </c>
      <c r="AU118" s="333" t="str">
        <f>IF(OR(OR($A118="",TYPE(VLOOKUP($A118,Centrum!$D$3:$M$130,10,0))&gt;3),$A$1&lt;4),"",VLOOKUP(VLOOKUP($A118,Centrum!$D$3:$M$130,10,0),Centrum!$A$3:$CB$130,AU$132,0))</f>
        <v/>
      </c>
      <c r="AV118" s="333" t="str">
        <f>IF(OR(OR($A118="",TYPE(VLOOKUP($A118,Centrum!$D$3:$M$130,10,0))&gt;3),$A$1&lt;4),"",VLOOKUP(VLOOKUP($A118,Centrum!$D$3:$M$130,10,0),Centrum!$A$3:$CB$130,AV$132,0))</f>
        <v/>
      </c>
      <c r="BC118" s="333" t="str">
        <f>IF(OR(OR($A118="",TYPE(VLOOKUP($A118,Centrum!$D$3:$M$130,10,0))&gt;3),$A$1&lt;5),"",VLOOKUP(VLOOKUP($A118,Centrum!$D$3:$M$130,10,0),Centrum!$A$3:$CB$130,BC$132,0))</f>
        <v/>
      </c>
      <c r="BD118" s="333" t="str">
        <f>IF(OR(OR($A118="",TYPE(VLOOKUP($A118,Centrum!$D$3:$M$130,10,0))&gt;3),$A$1&lt;5),"",VLOOKUP(VLOOKUP($A118,Centrum!$D$3:$M$130,10,0),Centrum!$A$3:$CB$130,BD$132,0))</f>
        <v/>
      </c>
      <c r="BE118" s="333" t="str">
        <f>IF(OR(OR($A118="",TYPE(VLOOKUP($A118,Centrum!$D$3:$M$130,10,0))&gt;3),$A$1&lt;5),"",VLOOKUP(VLOOKUP($A118,Centrum!$D$3:$M$130,10,0),Centrum!$A$3:$CB$130,BE$132,0))</f>
        <v/>
      </c>
      <c r="BL118" s="333" t="str">
        <f>IF(OR(OR($A118="",TYPE(VLOOKUP($A118,Centrum!$D$3:$M$130,10,0))&gt;3),$A$1&lt;6),"",VLOOKUP(VLOOKUP($A118,Centrum!$D$3:$M$130,10,0),Centrum!$A$3:$CB$130,BL$132,0))</f>
        <v/>
      </c>
      <c r="BM118" s="333" t="str">
        <f>IF(OR(OR($A118="",TYPE(VLOOKUP($A118,Centrum!$D$3:$M$130,10,0))&gt;3),$A$1&lt;6),"",VLOOKUP(VLOOKUP($A118,Centrum!$D$3:$M$130,10,0),Centrum!$A$3:$CB$130,BM$132,0))</f>
        <v/>
      </c>
      <c r="BN118" s="333" t="str">
        <f>IF(OR(OR($A118="",TYPE(VLOOKUP($A118,Centrum!$D$3:$M$130,10,0))&gt;3),$A$1&lt;6),"",VLOOKUP(VLOOKUP($A118,Centrum!$D$3:$M$130,10,0),Centrum!$A$3:$CB$130,BN$132,0))</f>
        <v/>
      </c>
    </row>
    <row r="119" spans="1:66" x14ac:dyDescent="0.25">
      <c r="A119" s="333" t="str">
        <f>Centrum!A119</f>
        <v/>
      </c>
      <c r="B119" s="439" t="str">
        <f>IF(OR($A119="",TYPE(VLOOKUP($A119,Centrum!$D$3:$M$130,10,0))&gt;3),"",VLOOKUP(VLOOKUP(A119,Centrum!$D$3:$M$130,10,0),Centrum!$A$3:$CB$130,B$132,0))</f>
        <v/>
      </c>
      <c r="C119" s="333" t="str">
        <f>IF(OR($A119="",TYPE(VLOOKUP($A119,Centrum!$D$3:$M$130,10,0))&gt;3),"",VLOOKUP($A119,Centrum!$D$3:$M$130,10,0))</f>
        <v/>
      </c>
      <c r="E119" s="333" t="str">
        <f>IF(OR($A119="",TYPE(VLOOKUP($A119,Centrum!$D$3:$M$130,10,0))&gt;3),"",VLOOKUP(VLOOKUP($A119,Centrum!$D$3:$M$130,10,0),Centrum!$A$3:$CB$130,E$132,0))</f>
        <v/>
      </c>
      <c r="F119" s="333" t="str">
        <f>IF(OR($A119="",TYPE(VLOOKUP($A119,Centrum!$D$3:$M$130,10,0))&gt;3),"",VLOOKUP(VLOOKUP($A119,Centrum!$D$3:$M$130,10,0),Centrum!$A$3:$CB$130,F$132,0))</f>
        <v/>
      </c>
      <c r="G119" s="333" t="str">
        <f>IF(OR($A119="",TYPE(VLOOKUP($A119,Centrum!$D$3:$M$130,10,0))&gt;3),"",VLOOKUP(VLOOKUP($A119,Centrum!$D$3:$M$130,10,0),Centrum!$A$3:$CB$130,G$132,0))</f>
        <v/>
      </c>
      <c r="H119" s="333" t="str">
        <f>IF($A119="","",VLOOKUP(VLOOKUP($A119,Centrum!$D$3:$M$130,10,0),Centrum!$A$3:$CB$130,H$132,0))</f>
        <v/>
      </c>
      <c r="I119" s="333" t="str">
        <f>IF($A119="","",VLOOKUP(VLOOKUP($A119,Centrum!$D$3:$M$130,10,0),Centrum!$A$3:$CB$130,I$132,0))</f>
        <v/>
      </c>
      <c r="J119" s="333" t="str">
        <f>IF(OR($A119="",TYPE(VLOOKUP($A119,Centrum!$D$3:$M$130,10,0))&gt;3),"",VLOOKUP(VLOOKUP($A119,Centrum!$D$3:$M$130,10,0),Centrum!$A$3:$CB$130,J$132,0))</f>
        <v/>
      </c>
      <c r="L119" s="333" t="str">
        <f>IF(OR($A119="",TYPE(VLOOKUP($A119,Centrum!$D$3:$M$130,10,0))&gt;3),"",VLOOKUP(VLOOKUP($A119,Centrum!$D$3:$M$130,10,0),Centrum!$A$3:$CB$130,L$132,0))</f>
        <v/>
      </c>
      <c r="M119" s="333" t="str">
        <f>IF(OR($A119="",TYPE(VLOOKUP($A119,Centrum!$D$3:$M$130,10,0))&gt;3),"",VLOOKUP(VLOOKUP($A119,Centrum!$D$3:$M$130,10,0),Centrum!$A$3:$CB$130,M$132,0))</f>
        <v/>
      </c>
      <c r="N119" s="333" t="str">
        <f>IF(OR($A119="",TYPE(VLOOKUP($A119,Centrum!$D$3:$M$130,10,0))&gt;3),"",VLOOKUP(VLOOKUP($A119,Centrum!$D$3:$M$130,10,0),Centrum!$A$3:$CB$130,N$132,0))</f>
        <v/>
      </c>
      <c r="O119" s="333" t="str">
        <f>IF(OR($A119="",TYPE(VLOOKUP($A119,Centrum!$D$3:$M$130,10,0))&gt;3),"",VLOOKUP(VLOOKUP($A119,Centrum!$D$3:$M$130,10,0),Centrum!$A$3:$CB$130,O$132,0))</f>
        <v/>
      </c>
      <c r="P119" s="333" t="str">
        <f>IF(OR($A119="",TYPE(VLOOKUP($A119,Centrum!$D$3:$M$130,10,0))&gt;3),"",VLOOKUP(VLOOKUP($A119,Centrum!$D$3:$M$130,10,0),Centrum!$A$3:$CB$130,P$132,0))</f>
        <v/>
      </c>
      <c r="Q119" s="333" t="str">
        <f>IF(OR($A119="",TYPE(VLOOKUP($A119,Centrum!$D$3:$M$130,10,0))&gt;3),"",VLOOKUP(VLOOKUP($A119,Centrum!$D$3:$M$130,10,0),Centrum!$A$3:$CB$130,Q$132,0))</f>
        <v/>
      </c>
      <c r="S119" s="333" t="str">
        <f>IF(OR($A119="",TYPE(VLOOKUP($A119,Centrum!$D$3:$M$130,10,0))&gt;3),"",VLOOKUP(VLOOKUP($A119,Centrum!$D$3:$M$130,10,0),Centrum!$A$3:$CB$130,S$132,0))</f>
        <v/>
      </c>
      <c r="T119" s="333" t="str">
        <f>IF(OR($A119="",TYPE(VLOOKUP($A119,Centrum!$D$3:$M$130,10,0))&gt;3),"",VLOOKUP(VLOOKUP($A119,Centrum!$D$3:$M$130,10,0),Centrum!$A$3:$CB$130,T$132,0))</f>
        <v/>
      </c>
      <c r="U119" s="333" t="str">
        <f>IF(OR($A119="",TYPE(VLOOKUP($A119,Centrum!$D$3:$M$130,10,0))&gt;3),"",VLOOKUP(VLOOKUP($A119,Centrum!$D$3:$M$130,10,0),Centrum!$A$3:$CB$130,U$132,0))</f>
        <v/>
      </c>
      <c r="AB119" s="333" t="str">
        <f>IF(OR($A119="",TYPE(VLOOKUP($A119,Centrum!$D$3:$M$130,10,0))&gt;3),"",VLOOKUP(VLOOKUP($A119,Centrum!$D$3:$M$130,10,0),Centrum!$A$3:$CB$130,AB$132,0))</f>
        <v/>
      </c>
      <c r="AC119" s="333" t="str">
        <f>IF(OR($A119="",TYPE(VLOOKUP($A119,Centrum!$D$3:$M$130,10,0))&gt;3),"",VLOOKUP(VLOOKUP($A119,Centrum!$D$3:$M$130,10,0),Centrum!$A$3:$CB$130,AC$132,0))</f>
        <v/>
      </c>
      <c r="AD119" s="333" t="str">
        <f>IF(OR($A119="",TYPE(VLOOKUP($A119,Centrum!$D$3:$M$130,10,0))&gt;3),"",VLOOKUP(VLOOKUP($A119,Centrum!$D$3:$M$130,10,0),Centrum!$A$3:$CB$130,AD$132,0))</f>
        <v/>
      </c>
      <c r="AK119" s="333" t="str">
        <f>IF(OR($A119="",TYPE(VLOOKUP($A119,Centrum!$D$3:$M$130,10,0))&gt;3),"",VLOOKUP(VLOOKUP($A119,Centrum!$D$3:$M$130,10,0),Centrum!$A$3:$CB$130,AK$132,0))</f>
        <v/>
      </c>
      <c r="AL119" s="333" t="str">
        <f>IF(OR($A119="",TYPE(VLOOKUP($A119,Centrum!$D$3:$M$130,10,0))&gt;3),"",VLOOKUP(VLOOKUP($A119,Centrum!$D$3:$M$130,10,0),Centrum!$A$3:$CB$130,AL$132,0))</f>
        <v/>
      </c>
      <c r="AM119" s="333" t="str">
        <f>IF(OR($A119="",TYPE(VLOOKUP($A119,Centrum!$D$3:$M$130,10,0))&gt;3),"",VLOOKUP(VLOOKUP($A119,Centrum!$D$3:$M$130,10,0),Centrum!$A$3:$CB$130,AM$132,0))</f>
        <v/>
      </c>
      <c r="AT119" s="333" t="str">
        <f>IF(OR(OR($A119="",TYPE(VLOOKUP($A119,Centrum!$D$3:$M$130,10,0))&gt;3),$A$1&lt;4),"",VLOOKUP(VLOOKUP($A119,Centrum!$D$3:$M$130,10,0),Centrum!$A$3:$CB$130,AT$132,0))</f>
        <v/>
      </c>
      <c r="AU119" s="333" t="str">
        <f>IF(OR(OR($A119="",TYPE(VLOOKUP($A119,Centrum!$D$3:$M$130,10,0))&gt;3),$A$1&lt;4),"",VLOOKUP(VLOOKUP($A119,Centrum!$D$3:$M$130,10,0),Centrum!$A$3:$CB$130,AU$132,0))</f>
        <v/>
      </c>
      <c r="AV119" s="333" t="str">
        <f>IF(OR(OR($A119="",TYPE(VLOOKUP($A119,Centrum!$D$3:$M$130,10,0))&gt;3),$A$1&lt;4),"",VLOOKUP(VLOOKUP($A119,Centrum!$D$3:$M$130,10,0),Centrum!$A$3:$CB$130,AV$132,0))</f>
        <v/>
      </c>
      <c r="BC119" s="333" t="str">
        <f>IF(OR(OR($A119="",TYPE(VLOOKUP($A119,Centrum!$D$3:$M$130,10,0))&gt;3),$A$1&lt;5),"",VLOOKUP(VLOOKUP($A119,Centrum!$D$3:$M$130,10,0),Centrum!$A$3:$CB$130,BC$132,0))</f>
        <v/>
      </c>
      <c r="BD119" s="333" t="str">
        <f>IF(OR(OR($A119="",TYPE(VLOOKUP($A119,Centrum!$D$3:$M$130,10,0))&gt;3),$A$1&lt;5),"",VLOOKUP(VLOOKUP($A119,Centrum!$D$3:$M$130,10,0),Centrum!$A$3:$CB$130,BD$132,0))</f>
        <v/>
      </c>
      <c r="BE119" s="333" t="str">
        <f>IF(OR(OR($A119="",TYPE(VLOOKUP($A119,Centrum!$D$3:$M$130,10,0))&gt;3),$A$1&lt;5),"",VLOOKUP(VLOOKUP($A119,Centrum!$D$3:$M$130,10,0),Centrum!$A$3:$CB$130,BE$132,0))</f>
        <v/>
      </c>
      <c r="BL119" s="333" t="str">
        <f>IF(OR(OR($A119="",TYPE(VLOOKUP($A119,Centrum!$D$3:$M$130,10,0))&gt;3),$A$1&lt;6),"",VLOOKUP(VLOOKUP($A119,Centrum!$D$3:$M$130,10,0),Centrum!$A$3:$CB$130,BL$132,0))</f>
        <v/>
      </c>
      <c r="BM119" s="333" t="str">
        <f>IF(OR(OR($A119="",TYPE(VLOOKUP($A119,Centrum!$D$3:$M$130,10,0))&gt;3),$A$1&lt;6),"",VLOOKUP(VLOOKUP($A119,Centrum!$D$3:$M$130,10,0),Centrum!$A$3:$CB$130,BM$132,0))</f>
        <v/>
      </c>
      <c r="BN119" s="333" t="str">
        <f>IF(OR(OR($A119="",TYPE(VLOOKUP($A119,Centrum!$D$3:$M$130,10,0))&gt;3),$A$1&lt;6),"",VLOOKUP(VLOOKUP($A119,Centrum!$D$3:$M$130,10,0),Centrum!$A$3:$CB$130,BN$132,0))</f>
        <v/>
      </c>
    </row>
    <row r="120" spans="1:66" x14ac:dyDescent="0.25">
      <c r="A120" s="333" t="str">
        <f>Centrum!A120</f>
        <v/>
      </c>
      <c r="B120" s="439" t="str">
        <f>IF(OR($A120="",TYPE(VLOOKUP($A120,Centrum!$D$3:$M$130,10,0))&gt;3),"",VLOOKUP(VLOOKUP(A120,Centrum!$D$3:$M$130,10,0),Centrum!$A$3:$CB$130,B$132,0))</f>
        <v/>
      </c>
      <c r="C120" s="333" t="str">
        <f>IF(OR($A120="",TYPE(VLOOKUP($A120,Centrum!$D$3:$M$130,10,0))&gt;3),"",VLOOKUP($A120,Centrum!$D$3:$M$130,10,0))</f>
        <v/>
      </c>
      <c r="E120" s="333" t="str">
        <f>IF(OR($A120="",TYPE(VLOOKUP($A120,Centrum!$D$3:$M$130,10,0))&gt;3),"",VLOOKUP(VLOOKUP($A120,Centrum!$D$3:$M$130,10,0),Centrum!$A$3:$CB$130,E$132,0))</f>
        <v/>
      </c>
      <c r="F120" s="333" t="str">
        <f>IF(OR($A120="",TYPE(VLOOKUP($A120,Centrum!$D$3:$M$130,10,0))&gt;3),"",VLOOKUP(VLOOKUP($A120,Centrum!$D$3:$M$130,10,0),Centrum!$A$3:$CB$130,F$132,0))</f>
        <v/>
      </c>
      <c r="G120" s="333" t="str">
        <f>IF(OR($A120="",TYPE(VLOOKUP($A120,Centrum!$D$3:$M$130,10,0))&gt;3),"",VLOOKUP(VLOOKUP($A120,Centrum!$D$3:$M$130,10,0),Centrum!$A$3:$CB$130,G$132,0))</f>
        <v/>
      </c>
      <c r="H120" s="333" t="str">
        <f>IF($A120="","",VLOOKUP(VLOOKUP($A120,Centrum!$D$3:$M$130,10,0),Centrum!$A$3:$CB$130,H$132,0))</f>
        <v/>
      </c>
      <c r="I120" s="333" t="str">
        <f>IF($A120="","",VLOOKUP(VLOOKUP($A120,Centrum!$D$3:$M$130,10,0),Centrum!$A$3:$CB$130,I$132,0))</f>
        <v/>
      </c>
      <c r="J120" s="333" t="str">
        <f>IF(OR($A120="",TYPE(VLOOKUP($A120,Centrum!$D$3:$M$130,10,0))&gt;3),"",VLOOKUP(VLOOKUP($A120,Centrum!$D$3:$M$130,10,0),Centrum!$A$3:$CB$130,J$132,0))</f>
        <v/>
      </c>
      <c r="L120" s="333" t="str">
        <f>IF(OR($A120="",TYPE(VLOOKUP($A120,Centrum!$D$3:$M$130,10,0))&gt;3),"",VLOOKUP(VLOOKUP($A120,Centrum!$D$3:$M$130,10,0),Centrum!$A$3:$CB$130,L$132,0))</f>
        <v/>
      </c>
      <c r="M120" s="333" t="str">
        <f>IF(OR($A120="",TYPE(VLOOKUP($A120,Centrum!$D$3:$M$130,10,0))&gt;3),"",VLOOKUP(VLOOKUP($A120,Centrum!$D$3:$M$130,10,0),Centrum!$A$3:$CB$130,M$132,0))</f>
        <v/>
      </c>
      <c r="N120" s="333" t="str">
        <f>IF(OR($A120="",TYPE(VLOOKUP($A120,Centrum!$D$3:$M$130,10,0))&gt;3),"",VLOOKUP(VLOOKUP($A120,Centrum!$D$3:$M$130,10,0),Centrum!$A$3:$CB$130,N$132,0))</f>
        <v/>
      </c>
      <c r="O120" s="333" t="str">
        <f>IF(OR($A120="",TYPE(VLOOKUP($A120,Centrum!$D$3:$M$130,10,0))&gt;3),"",VLOOKUP(VLOOKUP($A120,Centrum!$D$3:$M$130,10,0),Centrum!$A$3:$CB$130,O$132,0))</f>
        <v/>
      </c>
      <c r="P120" s="333" t="str">
        <f>IF(OR($A120="",TYPE(VLOOKUP($A120,Centrum!$D$3:$M$130,10,0))&gt;3),"",VLOOKUP(VLOOKUP($A120,Centrum!$D$3:$M$130,10,0),Centrum!$A$3:$CB$130,P$132,0))</f>
        <v/>
      </c>
      <c r="Q120" s="333" t="str">
        <f>IF(OR($A120="",TYPE(VLOOKUP($A120,Centrum!$D$3:$M$130,10,0))&gt;3),"",VLOOKUP(VLOOKUP($A120,Centrum!$D$3:$M$130,10,0),Centrum!$A$3:$CB$130,Q$132,0))</f>
        <v/>
      </c>
      <c r="S120" s="333" t="str">
        <f>IF(OR($A120="",TYPE(VLOOKUP($A120,Centrum!$D$3:$M$130,10,0))&gt;3),"",VLOOKUP(VLOOKUP($A120,Centrum!$D$3:$M$130,10,0),Centrum!$A$3:$CB$130,S$132,0))</f>
        <v/>
      </c>
      <c r="T120" s="333" t="str">
        <f>IF(OR($A120="",TYPE(VLOOKUP($A120,Centrum!$D$3:$M$130,10,0))&gt;3),"",VLOOKUP(VLOOKUP($A120,Centrum!$D$3:$M$130,10,0),Centrum!$A$3:$CB$130,T$132,0))</f>
        <v/>
      </c>
      <c r="U120" s="333" t="str">
        <f>IF(OR($A120="",TYPE(VLOOKUP($A120,Centrum!$D$3:$M$130,10,0))&gt;3),"",VLOOKUP(VLOOKUP($A120,Centrum!$D$3:$M$130,10,0),Centrum!$A$3:$CB$130,U$132,0))</f>
        <v/>
      </c>
      <c r="AB120" s="333" t="str">
        <f>IF(OR($A120="",TYPE(VLOOKUP($A120,Centrum!$D$3:$M$130,10,0))&gt;3),"",VLOOKUP(VLOOKUP($A120,Centrum!$D$3:$M$130,10,0),Centrum!$A$3:$CB$130,AB$132,0))</f>
        <v/>
      </c>
      <c r="AC120" s="333" t="str">
        <f>IF(OR($A120="",TYPE(VLOOKUP($A120,Centrum!$D$3:$M$130,10,0))&gt;3),"",VLOOKUP(VLOOKUP($A120,Centrum!$D$3:$M$130,10,0),Centrum!$A$3:$CB$130,AC$132,0))</f>
        <v/>
      </c>
      <c r="AD120" s="333" t="str">
        <f>IF(OR($A120="",TYPE(VLOOKUP($A120,Centrum!$D$3:$M$130,10,0))&gt;3),"",VLOOKUP(VLOOKUP($A120,Centrum!$D$3:$M$130,10,0),Centrum!$A$3:$CB$130,AD$132,0))</f>
        <v/>
      </c>
      <c r="AK120" s="333" t="str">
        <f>IF(OR($A120="",TYPE(VLOOKUP($A120,Centrum!$D$3:$M$130,10,0))&gt;3),"",VLOOKUP(VLOOKUP($A120,Centrum!$D$3:$M$130,10,0),Centrum!$A$3:$CB$130,AK$132,0))</f>
        <v/>
      </c>
      <c r="AL120" s="333" t="str">
        <f>IF(OR($A120="",TYPE(VLOOKUP($A120,Centrum!$D$3:$M$130,10,0))&gt;3),"",VLOOKUP(VLOOKUP($A120,Centrum!$D$3:$M$130,10,0),Centrum!$A$3:$CB$130,AL$132,0))</f>
        <v/>
      </c>
      <c r="AM120" s="333" t="str">
        <f>IF(OR($A120="",TYPE(VLOOKUP($A120,Centrum!$D$3:$M$130,10,0))&gt;3),"",VLOOKUP(VLOOKUP($A120,Centrum!$D$3:$M$130,10,0),Centrum!$A$3:$CB$130,AM$132,0))</f>
        <v/>
      </c>
      <c r="AT120" s="333" t="str">
        <f>IF(OR(OR($A120="",TYPE(VLOOKUP($A120,Centrum!$D$3:$M$130,10,0))&gt;3),$A$1&lt;4),"",VLOOKUP(VLOOKUP($A120,Centrum!$D$3:$M$130,10,0),Centrum!$A$3:$CB$130,AT$132,0))</f>
        <v/>
      </c>
      <c r="AU120" s="333" t="str">
        <f>IF(OR(OR($A120="",TYPE(VLOOKUP($A120,Centrum!$D$3:$M$130,10,0))&gt;3),$A$1&lt;4),"",VLOOKUP(VLOOKUP($A120,Centrum!$D$3:$M$130,10,0),Centrum!$A$3:$CB$130,AU$132,0))</f>
        <v/>
      </c>
      <c r="AV120" s="333" t="str">
        <f>IF(OR(OR($A120="",TYPE(VLOOKUP($A120,Centrum!$D$3:$M$130,10,0))&gt;3),$A$1&lt;4),"",VLOOKUP(VLOOKUP($A120,Centrum!$D$3:$M$130,10,0),Centrum!$A$3:$CB$130,AV$132,0))</f>
        <v/>
      </c>
      <c r="BC120" s="333" t="str">
        <f>IF(OR(OR($A120="",TYPE(VLOOKUP($A120,Centrum!$D$3:$M$130,10,0))&gt;3),$A$1&lt;5),"",VLOOKUP(VLOOKUP($A120,Centrum!$D$3:$M$130,10,0),Centrum!$A$3:$CB$130,BC$132,0))</f>
        <v/>
      </c>
      <c r="BD120" s="333" t="str">
        <f>IF(OR(OR($A120="",TYPE(VLOOKUP($A120,Centrum!$D$3:$M$130,10,0))&gt;3),$A$1&lt;5),"",VLOOKUP(VLOOKUP($A120,Centrum!$D$3:$M$130,10,0),Centrum!$A$3:$CB$130,BD$132,0))</f>
        <v/>
      </c>
      <c r="BE120" s="333" t="str">
        <f>IF(OR(OR($A120="",TYPE(VLOOKUP($A120,Centrum!$D$3:$M$130,10,0))&gt;3),$A$1&lt;5),"",VLOOKUP(VLOOKUP($A120,Centrum!$D$3:$M$130,10,0),Centrum!$A$3:$CB$130,BE$132,0))</f>
        <v/>
      </c>
      <c r="BL120" s="333" t="str">
        <f>IF(OR(OR($A120="",TYPE(VLOOKUP($A120,Centrum!$D$3:$M$130,10,0))&gt;3),$A$1&lt;6),"",VLOOKUP(VLOOKUP($A120,Centrum!$D$3:$M$130,10,0),Centrum!$A$3:$CB$130,BL$132,0))</f>
        <v/>
      </c>
      <c r="BM120" s="333" t="str">
        <f>IF(OR(OR($A120="",TYPE(VLOOKUP($A120,Centrum!$D$3:$M$130,10,0))&gt;3),$A$1&lt;6),"",VLOOKUP(VLOOKUP($A120,Centrum!$D$3:$M$130,10,0),Centrum!$A$3:$CB$130,BM$132,0))</f>
        <v/>
      </c>
      <c r="BN120" s="333" t="str">
        <f>IF(OR(OR($A120="",TYPE(VLOOKUP($A120,Centrum!$D$3:$M$130,10,0))&gt;3),$A$1&lt;6),"",VLOOKUP(VLOOKUP($A120,Centrum!$D$3:$M$130,10,0),Centrum!$A$3:$CB$130,BN$132,0))</f>
        <v/>
      </c>
    </row>
    <row r="121" spans="1:66" x14ac:dyDescent="0.25">
      <c r="A121" s="333" t="str">
        <f>Centrum!A121</f>
        <v/>
      </c>
      <c r="B121" s="439" t="str">
        <f>IF(OR($A121="",TYPE(VLOOKUP($A121,Centrum!$D$3:$M$130,10,0))&gt;3),"",VLOOKUP(VLOOKUP(A121,Centrum!$D$3:$M$130,10,0),Centrum!$A$3:$CB$130,B$132,0))</f>
        <v/>
      </c>
      <c r="C121" s="333" t="str">
        <f>IF(OR($A121="",TYPE(VLOOKUP($A121,Centrum!$D$3:$M$130,10,0))&gt;3),"",VLOOKUP($A121,Centrum!$D$3:$M$130,10,0))</f>
        <v/>
      </c>
      <c r="E121" s="333" t="str">
        <f>IF(OR($A121="",TYPE(VLOOKUP($A121,Centrum!$D$3:$M$130,10,0))&gt;3),"",VLOOKUP(VLOOKUP($A121,Centrum!$D$3:$M$130,10,0),Centrum!$A$3:$CB$130,E$132,0))</f>
        <v/>
      </c>
      <c r="F121" s="333" t="str">
        <f>IF(OR($A121="",TYPE(VLOOKUP($A121,Centrum!$D$3:$M$130,10,0))&gt;3),"",VLOOKUP(VLOOKUP($A121,Centrum!$D$3:$M$130,10,0),Centrum!$A$3:$CB$130,F$132,0))</f>
        <v/>
      </c>
      <c r="G121" s="333" t="str">
        <f>IF(OR($A121="",TYPE(VLOOKUP($A121,Centrum!$D$3:$M$130,10,0))&gt;3),"",VLOOKUP(VLOOKUP($A121,Centrum!$D$3:$M$130,10,0),Centrum!$A$3:$CB$130,G$132,0))</f>
        <v/>
      </c>
      <c r="H121" s="333" t="str">
        <f>IF($A121="","",VLOOKUP(VLOOKUP($A121,Centrum!$D$3:$M$130,10,0),Centrum!$A$3:$CB$130,H$132,0))</f>
        <v/>
      </c>
      <c r="I121" s="333" t="str">
        <f>IF($A121="","",VLOOKUP(VLOOKUP($A121,Centrum!$D$3:$M$130,10,0),Centrum!$A$3:$CB$130,I$132,0))</f>
        <v/>
      </c>
      <c r="J121" s="333" t="str">
        <f>IF(OR($A121="",TYPE(VLOOKUP($A121,Centrum!$D$3:$M$130,10,0))&gt;3),"",VLOOKUP(VLOOKUP($A121,Centrum!$D$3:$M$130,10,0),Centrum!$A$3:$CB$130,J$132,0))</f>
        <v/>
      </c>
      <c r="L121" s="333" t="str">
        <f>IF(OR($A121="",TYPE(VLOOKUP($A121,Centrum!$D$3:$M$130,10,0))&gt;3),"",VLOOKUP(VLOOKUP($A121,Centrum!$D$3:$M$130,10,0),Centrum!$A$3:$CB$130,L$132,0))</f>
        <v/>
      </c>
      <c r="M121" s="333" t="str">
        <f>IF(OR($A121="",TYPE(VLOOKUP($A121,Centrum!$D$3:$M$130,10,0))&gt;3),"",VLOOKUP(VLOOKUP($A121,Centrum!$D$3:$M$130,10,0),Centrum!$A$3:$CB$130,M$132,0))</f>
        <v/>
      </c>
      <c r="N121" s="333" t="str">
        <f>IF(OR($A121="",TYPE(VLOOKUP($A121,Centrum!$D$3:$M$130,10,0))&gt;3),"",VLOOKUP(VLOOKUP($A121,Centrum!$D$3:$M$130,10,0),Centrum!$A$3:$CB$130,N$132,0))</f>
        <v/>
      </c>
      <c r="O121" s="333" t="str">
        <f>IF(OR($A121="",TYPE(VLOOKUP($A121,Centrum!$D$3:$M$130,10,0))&gt;3),"",VLOOKUP(VLOOKUP($A121,Centrum!$D$3:$M$130,10,0),Centrum!$A$3:$CB$130,O$132,0))</f>
        <v/>
      </c>
      <c r="P121" s="333" t="str">
        <f>IF(OR($A121="",TYPE(VLOOKUP($A121,Centrum!$D$3:$M$130,10,0))&gt;3),"",VLOOKUP(VLOOKUP($A121,Centrum!$D$3:$M$130,10,0),Centrum!$A$3:$CB$130,P$132,0))</f>
        <v/>
      </c>
      <c r="Q121" s="333" t="str">
        <f>IF(OR($A121="",TYPE(VLOOKUP($A121,Centrum!$D$3:$M$130,10,0))&gt;3),"",VLOOKUP(VLOOKUP($A121,Centrum!$D$3:$M$130,10,0),Centrum!$A$3:$CB$130,Q$132,0))</f>
        <v/>
      </c>
      <c r="S121" s="333" t="str">
        <f>IF(OR($A121="",TYPE(VLOOKUP($A121,Centrum!$D$3:$M$130,10,0))&gt;3),"",VLOOKUP(VLOOKUP($A121,Centrum!$D$3:$M$130,10,0),Centrum!$A$3:$CB$130,S$132,0))</f>
        <v/>
      </c>
      <c r="T121" s="333" t="str">
        <f>IF(OR($A121="",TYPE(VLOOKUP($A121,Centrum!$D$3:$M$130,10,0))&gt;3),"",VLOOKUP(VLOOKUP($A121,Centrum!$D$3:$M$130,10,0),Centrum!$A$3:$CB$130,T$132,0))</f>
        <v/>
      </c>
      <c r="U121" s="333" t="str">
        <f>IF(OR($A121="",TYPE(VLOOKUP($A121,Centrum!$D$3:$M$130,10,0))&gt;3),"",VLOOKUP(VLOOKUP($A121,Centrum!$D$3:$M$130,10,0),Centrum!$A$3:$CB$130,U$132,0))</f>
        <v/>
      </c>
      <c r="AB121" s="333" t="str">
        <f>IF(OR($A121="",TYPE(VLOOKUP($A121,Centrum!$D$3:$M$130,10,0))&gt;3),"",VLOOKUP(VLOOKUP($A121,Centrum!$D$3:$M$130,10,0),Centrum!$A$3:$CB$130,AB$132,0))</f>
        <v/>
      </c>
      <c r="AC121" s="333" t="str">
        <f>IF(OR($A121="",TYPE(VLOOKUP($A121,Centrum!$D$3:$M$130,10,0))&gt;3),"",VLOOKUP(VLOOKUP($A121,Centrum!$D$3:$M$130,10,0),Centrum!$A$3:$CB$130,AC$132,0))</f>
        <v/>
      </c>
      <c r="AD121" s="333" t="str">
        <f>IF(OR($A121="",TYPE(VLOOKUP($A121,Centrum!$D$3:$M$130,10,0))&gt;3),"",VLOOKUP(VLOOKUP($A121,Centrum!$D$3:$M$130,10,0),Centrum!$A$3:$CB$130,AD$132,0))</f>
        <v/>
      </c>
      <c r="AK121" s="333" t="str">
        <f>IF(OR($A121="",TYPE(VLOOKUP($A121,Centrum!$D$3:$M$130,10,0))&gt;3),"",VLOOKUP(VLOOKUP($A121,Centrum!$D$3:$M$130,10,0),Centrum!$A$3:$CB$130,AK$132,0))</f>
        <v/>
      </c>
      <c r="AL121" s="333" t="str">
        <f>IF(OR($A121="",TYPE(VLOOKUP($A121,Centrum!$D$3:$M$130,10,0))&gt;3),"",VLOOKUP(VLOOKUP($A121,Centrum!$D$3:$M$130,10,0),Centrum!$A$3:$CB$130,AL$132,0))</f>
        <v/>
      </c>
      <c r="AM121" s="333" t="str">
        <f>IF(OR($A121="",TYPE(VLOOKUP($A121,Centrum!$D$3:$M$130,10,0))&gt;3),"",VLOOKUP(VLOOKUP($A121,Centrum!$D$3:$M$130,10,0),Centrum!$A$3:$CB$130,AM$132,0))</f>
        <v/>
      </c>
      <c r="AT121" s="333" t="str">
        <f>IF(OR(OR($A121="",TYPE(VLOOKUP($A121,Centrum!$D$3:$M$130,10,0))&gt;3),$A$1&lt;4),"",VLOOKUP(VLOOKUP($A121,Centrum!$D$3:$M$130,10,0),Centrum!$A$3:$CB$130,AT$132,0))</f>
        <v/>
      </c>
      <c r="AU121" s="333" t="str">
        <f>IF(OR(OR($A121="",TYPE(VLOOKUP($A121,Centrum!$D$3:$M$130,10,0))&gt;3),$A$1&lt;4),"",VLOOKUP(VLOOKUP($A121,Centrum!$D$3:$M$130,10,0),Centrum!$A$3:$CB$130,AU$132,0))</f>
        <v/>
      </c>
      <c r="AV121" s="333" t="str">
        <f>IF(OR(OR($A121="",TYPE(VLOOKUP($A121,Centrum!$D$3:$M$130,10,0))&gt;3),$A$1&lt;4),"",VLOOKUP(VLOOKUP($A121,Centrum!$D$3:$M$130,10,0),Centrum!$A$3:$CB$130,AV$132,0))</f>
        <v/>
      </c>
      <c r="BC121" s="333" t="str">
        <f>IF(OR(OR($A121="",TYPE(VLOOKUP($A121,Centrum!$D$3:$M$130,10,0))&gt;3),$A$1&lt;5),"",VLOOKUP(VLOOKUP($A121,Centrum!$D$3:$M$130,10,0),Centrum!$A$3:$CB$130,BC$132,0))</f>
        <v/>
      </c>
      <c r="BD121" s="333" t="str">
        <f>IF(OR(OR($A121="",TYPE(VLOOKUP($A121,Centrum!$D$3:$M$130,10,0))&gt;3),$A$1&lt;5),"",VLOOKUP(VLOOKUP($A121,Centrum!$D$3:$M$130,10,0),Centrum!$A$3:$CB$130,BD$132,0))</f>
        <v/>
      </c>
      <c r="BE121" s="333" t="str">
        <f>IF(OR(OR($A121="",TYPE(VLOOKUP($A121,Centrum!$D$3:$M$130,10,0))&gt;3),$A$1&lt;5),"",VLOOKUP(VLOOKUP($A121,Centrum!$D$3:$M$130,10,0),Centrum!$A$3:$CB$130,BE$132,0))</f>
        <v/>
      </c>
      <c r="BL121" s="333" t="str">
        <f>IF(OR(OR($A121="",TYPE(VLOOKUP($A121,Centrum!$D$3:$M$130,10,0))&gt;3),$A$1&lt;6),"",VLOOKUP(VLOOKUP($A121,Centrum!$D$3:$M$130,10,0),Centrum!$A$3:$CB$130,BL$132,0))</f>
        <v/>
      </c>
      <c r="BM121" s="333" t="str">
        <f>IF(OR(OR($A121="",TYPE(VLOOKUP($A121,Centrum!$D$3:$M$130,10,0))&gt;3),$A$1&lt;6),"",VLOOKUP(VLOOKUP($A121,Centrum!$D$3:$M$130,10,0),Centrum!$A$3:$CB$130,BM$132,0))</f>
        <v/>
      </c>
      <c r="BN121" s="333" t="str">
        <f>IF(OR(OR($A121="",TYPE(VLOOKUP($A121,Centrum!$D$3:$M$130,10,0))&gt;3),$A$1&lt;6),"",VLOOKUP(VLOOKUP($A121,Centrum!$D$3:$M$130,10,0),Centrum!$A$3:$CB$130,BN$132,0))</f>
        <v/>
      </c>
    </row>
    <row r="122" spans="1:66" x14ac:dyDescent="0.25">
      <c r="A122" s="333" t="str">
        <f>Centrum!A122</f>
        <v/>
      </c>
      <c r="B122" s="439" t="str">
        <f>IF(OR($A122="",TYPE(VLOOKUP($A122,Centrum!$D$3:$M$130,10,0))&gt;3),"",VLOOKUP(VLOOKUP(A122,Centrum!$D$3:$M$130,10,0),Centrum!$A$3:$CB$130,B$132,0))</f>
        <v/>
      </c>
      <c r="C122" s="333" t="str">
        <f>IF(OR($A122="",TYPE(VLOOKUP($A122,Centrum!$D$3:$M$130,10,0))&gt;3),"",VLOOKUP($A122,Centrum!$D$3:$M$130,10,0))</f>
        <v/>
      </c>
      <c r="E122" s="333" t="str">
        <f>IF(OR($A122="",TYPE(VLOOKUP($A122,Centrum!$D$3:$M$130,10,0))&gt;3),"",VLOOKUP(VLOOKUP($A122,Centrum!$D$3:$M$130,10,0),Centrum!$A$3:$CB$130,E$132,0))</f>
        <v/>
      </c>
      <c r="F122" s="333" t="str">
        <f>IF(OR($A122="",TYPE(VLOOKUP($A122,Centrum!$D$3:$M$130,10,0))&gt;3),"",VLOOKUP(VLOOKUP($A122,Centrum!$D$3:$M$130,10,0),Centrum!$A$3:$CB$130,F$132,0))</f>
        <v/>
      </c>
      <c r="G122" s="333" t="str">
        <f>IF(OR($A122="",TYPE(VLOOKUP($A122,Centrum!$D$3:$M$130,10,0))&gt;3),"",VLOOKUP(VLOOKUP($A122,Centrum!$D$3:$M$130,10,0),Centrum!$A$3:$CB$130,G$132,0))</f>
        <v/>
      </c>
      <c r="H122" s="333" t="str">
        <f>IF($A122="","",VLOOKUP(VLOOKUP($A122,Centrum!$D$3:$M$130,10,0),Centrum!$A$3:$CB$130,H$132,0))</f>
        <v/>
      </c>
      <c r="I122" s="333" t="str">
        <f>IF($A122="","",VLOOKUP(VLOOKUP($A122,Centrum!$D$3:$M$130,10,0),Centrum!$A$3:$CB$130,I$132,0))</f>
        <v/>
      </c>
      <c r="J122" s="333" t="str">
        <f>IF(OR($A122="",TYPE(VLOOKUP($A122,Centrum!$D$3:$M$130,10,0))&gt;3),"",VLOOKUP(VLOOKUP($A122,Centrum!$D$3:$M$130,10,0),Centrum!$A$3:$CB$130,J$132,0))</f>
        <v/>
      </c>
      <c r="L122" s="333" t="str">
        <f>IF(OR($A122="",TYPE(VLOOKUP($A122,Centrum!$D$3:$M$130,10,0))&gt;3),"",VLOOKUP(VLOOKUP($A122,Centrum!$D$3:$M$130,10,0),Centrum!$A$3:$CB$130,L$132,0))</f>
        <v/>
      </c>
      <c r="M122" s="333" t="str">
        <f>IF(OR($A122="",TYPE(VLOOKUP($A122,Centrum!$D$3:$M$130,10,0))&gt;3),"",VLOOKUP(VLOOKUP($A122,Centrum!$D$3:$M$130,10,0),Centrum!$A$3:$CB$130,M$132,0))</f>
        <v/>
      </c>
      <c r="N122" s="333" t="str">
        <f>IF(OR($A122="",TYPE(VLOOKUP($A122,Centrum!$D$3:$M$130,10,0))&gt;3),"",VLOOKUP(VLOOKUP($A122,Centrum!$D$3:$M$130,10,0),Centrum!$A$3:$CB$130,N$132,0))</f>
        <v/>
      </c>
      <c r="O122" s="333" t="str">
        <f>IF(OR($A122="",TYPE(VLOOKUP($A122,Centrum!$D$3:$M$130,10,0))&gt;3),"",VLOOKUP(VLOOKUP($A122,Centrum!$D$3:$M$130,10,0),Centrum!$A$3:$CB$130,O$132,0))</f>
        <v/>
      </c>
      <c r="P122" s="333" t="str">
        <f>IF(OR($A122="",TYPE(VLOOKUP($A122,Centrum!$D$3:$M$130,10,0))&gt;3),"",VLOOKUP(VLOOKUP($A122,Centrum!$D$3:$M$130,10,0),Centrum!$A$3:$CB$130,P$132,0))</f>
        <v/>
      </c>
      <c r="Q122" s="333" t="str">
        <f>IF(OR($A122="",TYPE(VLOOKUP($A122,Centrum!$D$3:$M$130,10,0))&gt;3),"",VLOOKUP(VLOOKUP($A122,Centrum!$D$3:$M$130,10,0),Centrum!$A$3:$CB$130,Q$132,0))</f>
        <v/>
      </c>
      <c r="S122" s="333" t="str">
        <f>IF(OR($A122="",TYPE(VLOOKUP($A122,Centrum!$D$3:$M$130,10,0))&gt;3),"",VLOOKUP(VLOOKUP($A122,Centrum!$D$3:$M$130,10,0),Centrum!$A$3:$CB$130,S$132,0))</f>
        <v/>
      </c>
      <c r="T122" s="333" t="str">
        <f>IF(OR($A122="",TYPE(VLOOKUP($A122,Centrum!$D$3:$M$130,10,0))&gt;3),"",VLOOKUP(VLOOKUP($A122,Centrum!$D$3:$M$130,10,0),Centrum!$A$3:$CB$130,T$132,0))</f>
        <v/>
      </c>
      <c r="U122" s="333" t="str">
        <f>IF(OR($A122="",TYPE(VLOOKUP($A122,Centrum!$D$3:$M$130,10,0))&gt;3),"",VLOOKUP(VLOOKUP($A122,Centrum!$D$3:$M$130,10,0),Centrum!$A$3:$CB$130,U$132,0))</f>
        <v/>
      </c>
      <c r="AB122" s="333" t="str">
        <f>IF(OR($A122="",TYPE(VLOOKUP($A122,Centrum!$D$3:$M$130,10,0))&gt;3),"",VLOOKUP(VLOOKUP($A122,Centrum!$D$3:$M$130,10,0),Centrum!$A$3:$CB$130,AB$132,0))</f>
        <v/>
      </c>
      <c r="AC122" s="333" t="str">
        <f>IF(OR($A122="",TYPE(VLOOKUP($A122,Centrum!$D$3:$M$130,10,0))&gt;3),"",VLOOKUP(VLOOKUP($A122,Centrum!$D$3:$M$130,10,0),Centrum!$A$3:$CB$130,AC$132,0))</f>
        <v/>
      </c>
      <c r="AD122" s="333" t="str">
        <f>IF(OR($A122="",TYPE(VLOOKUP($A122,Centrum!$D$3:$M$130,10,0))&gt;3),"",VLOOKUP(VLOOKUP($A122,Centrum!$D$3:$M$130,10,0),Centrum!$A$3:$CB$130,AD$132,0))</f>
        <v/>
      </c>
      <c r="AK122" s="333" t="str">
        <f>IF(OR($A122="",TYPE(VLOOKUP($A122,Centrum!$D$3:$M$130,10,0))&gt;3),"",VLOOKUP(VLOOKUP($A122,Centrum!$D$3:$M$130,10,0),Centrum!$A$3:$CB$130,AK$132,0))</f>
        <v/>
      </c>
      <c r="AL122" s="333" t="str">
        <f>IF(OR($A122="",TYPE(VLOOKUP($A122,Centrum!$D$3:$M$130,10,0))&gt;3),"",VLOOKUP(VLOOKUP($A122,Centrum!$D$3:$M$130,10,0),Centrum!$A$3:$CB$130,AL$132,0))</f>
        <v/>
      </c>
      <c r="AM122" s="333" t="str">
        <f>IF(OR($A122="",TYPE(VLOOKUP($A122,Centrum!$D$3:$M$130,10,0))&gt;3),"",VLOOKUP(VLOOKUP($A122,Centrum!$D$3:$M$130,10,0),Centrum!$A$3:$CB$130,AM$132,0))</f>
        <v/>
      </c>
      <c r="AT122" s="333" t="str">
        <f>IF(OR(OR($A122="",TYPE(VLOOKUP($A122,Centrum!$D$3:$M$130,10,0))&gt;3),$A$1&lt;4),"",VLOOKUP(VLOOKUP($A122,Centrum!$D$3:$M$130,10,0),Centrum!$A$3:$CB$130,AT$132,0))</f>
        <v/>
      </c>
      <c r="AU122" s="333" t="str">
        <f>IF(OR(OR($A122="",TYPE(VLOOKUP($A122,Centrum!$D$3:$M$130,10,0))&gt;3),$A$1&lt;4),"",VLOOKUP(VLOOKUP($A122,Centrum!$D$3:$M$130,10,0),Centrum!$A$3:$CB$130,AU$132,0))</f>
        <v/>
      </c>
      <c r="AV122" s="333" t="str">
        <f>IF(OR(OR($A122="",TYPE(VLOOKUP($A122,Centrum!$D$3:$M$130,10,0))&gt;3),$A$1&lt;4),"",VLOOKUP(VLOOKUP($A122,Centrum!$D$3:$M$130,10,0),Centrum!$A$3:$CB$130,AV$132,0))</f>
        <v/>
      </c>
      <c r="BC122" s="333" t="str">
        <f>IF(OR(OR($A122="",TYPE(VLOOKUP($A122,Centrum!$D$3:$M$130,10,0))&gt;3),$A$1&lt;5),"",VLOOKUP(VLOOKUP($A122,Centrum!$D$3:$M$130,10,0),Centrum!$A$3:$CB$130,BC$132,0))</f>
        <v/>
      </c>
      <c r="BD122" s="333" t="str">
        <f>IF(OR(OR($A122="",TYPE(VLOOKUP($A122,Centrum!$D$3:$M$130,10,0))&gt;3),$A$1&lt;5),"",VLOOKUP(VLOOKUP($A122,Centrum!$D$3:$M$130,10,0),Centrum!$A$3:$CB$130,BD$132,0))</f>
        <v/>
      </c>
      <c r="BE122" s="333" t="str">
        <f>IF(OR(OR($A122="",TYPE(VLOOKUP($A122,Centrum!$D$3:$M$130,10,0))&gt;3),$A$1&lt;5),"",VLOOKUP(VLOOKUP($A122,Centrum!$D$3:$M$130,10,0),Centrum!$A$3:$CB$130,BE$132,0))</f>
        <v/>
      </c>
      <c r="BL122" s="333" t="str">
        <f>IF(OR(OR($A122="",TYPE(VLOOKUP($A122,Centrum!$D$3:$M$130,10,0))&gt;3),$A$1&lt;6),"",VLOOKUP(VLOOKUP($A122,Centrum!$D$3:$M$130,10,0),Centrum!$A$3:$CB$130,BL$132,0))</f>
        <v/>
      </c>
      <c r="BM122" s="333" t="str">
        <f>IF(OR(OR($A122="",TYPE(VLOOKUP($A122,Centrum!$D$3:$M$130,10,0))&gt;3),$A$1&lt;6),"",VLOOKUP(VLOOKUP($A122,Centrum!$D$3:$M$130,10,0),Centrum!$A$3:$CB$130,BM$132,0))</f>
        <v/>
      </c>
      <c r="BN122" s="333" t="str">
        <f>IF(OR(OR($A122="",TYPE(VLOOKUP($A122,Centrum!$D$3:$M$130,10,0))&gt;3),$A$1&lt;6),"",VLOOKUP(VLOOKUP($A122,Centrum!$D$3:$M$130,10,0),Centrum!$A$3:$CB$130,BN$132,0))</f>
        <v/>
      </c>
    </row>
    <row r="123" spans="1:66" x14ac:dyDescent="0.25">
      <c r="A123" s="333" t="str">
        <f>Centrum!A123</f>
        <v/>
      </c>
      <c r="B123" s="439" t="str">
        <f>IF(OR($A123="",TYPE(VLOOKUP($A123,Centrum!$D$3:$M$130,10,0))&gt;3),"",VLOOKUP(VLOOKUP(A123,Centrum!$D$3:$M$130,10,0),Centrum!$A$3:$CB$130,B$132,0))</f>
        <v/>
      </c>
      <c r="C123" s="333" t="str">
        <f>IF(OR($A123="",TYPE(VLOOKUP($A123,Centrum!$D$3:$M$130,10,0))&gt;3),"",VLOOKUP($A123,Centrum!$D$3:$M$130,10,0))</f>
        <v/>
      </c>
      <c r="E123" s="333" t="str">
        <f>IF(OR($A123="",TYPE(VLOOKUP($A123,Centrum!$D$3:$M$130,10,0))&gt;3),"",VLOOKUP(VLOOKUP($A123,Centrum!$D$3:$M$130,10,0),Centrum!$A$3:$CB$130,E$132,0))</f>
        <v/>
      </c>
      <c r="F123" s="333" t="str">
        <f>IF(OR($A123="",TYPE(VLOOKUP($A123,Centrum!$D$3:$M$130,10,0))&gt;3),"",VLOOKUP(VLOOKUP($A123,Centrum!$D$3:$M$130,10,0),Centrum!$A$3:$CB$130,F$132,0))</f>
        <v/>
      </c>
      <c r="G123" s="333" t="str">
        <f>IF(OR($A123="",TYPE(VLOOKUP($A123,Centrum!$D$3:$M$130,10,0))&gt;3),"",VLOOKUP(VLOOKUP($A123,Centrum!$D$3:$M$130,10,0),Centrum!$A$3:$CB$130,G$132,0))</f>
        <v/>
      </c>
      <c r="H123" s="333" t="str">
        <f>IF($A123="","",VLOOKUP(VLOOKUP($A123,Centrum!$D$3:$M$130,10,0),Centrum!$A$3:$CB$130,H$132,0))</f>
        <v/>
      </c>
      <c r="I123" s="333" t="str">
        <f>IF($A123="","",VLOOKUP(VLOOKUP($A123,Centrum!$D$3:$M$130,10,0),Centrum!$A$3:$CB$130,I$132,0))</f>
        <v/>
      </c>
      <c r="J123" s="333" t="str">
        <f>IF(OR($A123="",TYPE(VLOOKUP($A123,Centrum!$D$3:$M$130,10,0))&gt;3),"",VLOOKUP(VLOOKUP($A123,Centrum!$D$3:$M$130,10,0),Centrum!$A$3:$CB$130,J$132,0))</f>
        <v/>
      </c>
      <c r="L123" s="333" t="str">
        <f>IF(OR($A123="",TYPE(VLOOKUP($A123,Centrum!$D$3:$M$130,10,0))&gt;3),"",VLOOKUP(VLOOKUP($A123,Centrum!$D$3:$M$130,10,0),Centrum!$A$3:$CB$130,L$132,0))</f>
        <v/>
      </c>
      <c r="M123" s="333" t="str">
        <f>IF(OR($A123="",TYPE(VLOOKUP($A123,Centrum!$D$3:$M$130,10,0))&gt;3),"",VLOOKUP(VLOOKUP($A123,Centrum!$D$3:$M$130,10,0),Centrum!$A$3:$CB$130,M$132,0))</f>
        <v/>
      </c>
      <c r="N123" s="333" t="str">
        <f>IF(OR($A123="",TYPE(VLOOKUP($A123,Centrum!$D$3:$M$130,10,0))&gt;3),"",VLOOKUP(VLOOKUP($A123,Centrum!$D$3:$M$130,10,0),Centrum!$A$3:$CB$130,N$132,0))</f>
        <v/>
      </c>
      <c r="O123" s="333" t="str">
        <f>IF(OR($A123="",TYPE(VLOOKUP($A123,Centrum!$D$3:$M$130,10,0))&gt;3),"",VLOOKUP(VLOOKUP($A123,Centrum!$D$3:$M$130,10,0),Centrum!$A$3:$CB$130,O$132,0))</f>
        <v/>
      </c>
      <c r="P123" s="333" t="str">
        <f>IF(OR($A123="",TYPE(VLOOKUP($A123,Centrum!$D$3:$M$130,10,0))&gt;3),"",VLOOKUP(VLOOKUP($A123,Centrum!$D$3:$M$130,10,0),Centrum!$A$3:$CB$130,P$132,0))</f>
        <v/>
      </c>
      <c r="Q123" s="333" t="str">
        <f>IF(OR($A123="",TYPE(VLOOKUP($A123,Centrum!$D$3:$M$130,10,0))&gt;3),"",VLOOKUP(VLOOKUP($A123,Centrum!$D$3:$M$130,10,0),Centrum!$A$3:$CB$130,Q$132,0))</f>
        <v/>
      </c>
      <c r="S123" s="333" t="str">
        <f>IF(OR($A123="",TYPE(VLOOKUP($A123,Centrum!$D$3:$M$130,10,0))&gt;3),"",VLOOKUP(VLOOKUP($A123,Centrum!$D$3:$M$130,10,0),Centrum!$A$3:$CB$130,S$132,0))</f>
        <v/>
      </c>
      <c r="T123" s="333" t="str">
        <f>IF(OR($A123="",TYPE(VLOOKUP($A123,Centrum!$D$3:$M$130,10,0))&gt;3),"",VLOOKUP(VLOOKUP($A123,Centrum!$D$3:$M$130,10,0),Centrum!$A$3:$CB$130,T$132,0))</f>
        <v/>
      </c>
      <c r="U123" s="333" t="str">
        <f>IF(OR($A123="",TYPE(VLOOKUP($A123,Centrum!$D$3:$M$130,10,0))&gt;3),"",VLOOKUP(VLOOKUP($A123,Centrum!$D$3:$M$130,10,0),Centrum!$A$3:$CB$130,U$132,0))</f>
        <v/>
      </c>
      <c r="AB123" s="333" t="str">
        <f>IF(OR($A123="",TYPE(VLOOKUP($A123,Centrum!$D$3:$M$130,10,0))&gt;3),"",VLOOKUP(VLOOKUP($A123,Centrum!$D$3:$M$130,10,0),Centrum!$A$3:$CB$130,AB$132,0))</f>
        <v/>
      </c>
      <c r="AC123" s="333" t="str">
        <f>IF(OR($A123="",TYPE(VLOOKUP($A123,Centrum!$D$3:$M$130,10,0))&gt;3),"",VLOOKUP(VLOOKUP($A123,Centrum!$D$3:$M$130,10,0),Centrum!$A$3:$CB$130,AC$132,0))</f>
        <v/>
      </c>
      <c r="AD123" s="333" t="str">
        <f>IF(OR($A123="",TYPE(VLOOKUP($A123,Centrum!$D$3:$M$130,10,0))&gt;3),"",VLOOKUP(VLOOKUP($A123,Centrum!$D$3:$M$130,10,0),Centrum!$A$3:$CB$130,AD$132,0))</f>
        <v/>
      </c>
      <c r="AK123" s="333" t="str">
        <f>IF(OR($A123="",TYPE(VLOOKUP($A123,Centrum!$D$3:$M$130,10,0))&gt;3),"",VLOOKUP(VLOOKUP($A123,Centrum!$D$3:$M$130,10,0),Centrum!$A$3:$CB$130,AK$132,0))</f>
        <v/>
      </c>
      <c r="AL123" s="333" t="str">
        <f>IF(OR($A123="",TYPE(VLOOKUP($A123,Centrum!$D$3:$M$130,10,0))&gt;3),"",VLOOKUP(VLOOKUP($A123,Centrum!$D$3:$M$130,10,0),Centrum!$A$3:$CB$130,AL$132,0))</f>
        <v/>
      </c>
      <c r="AM123" s="333" t="str">
        <f>IF(OR($A123="",TYPE(VLOOKUP($A123,Centrum!$D$3:$M$130,10,0))&gt;3),"",VLOOKUP(VLOOKUP($A123,Centrum!$D$3:$M$130,10,0),Centrum!$A$3:$CB$130,AM$132,0))</f>
        <v/>
      </c>
      <c r="AT123" s="333" t="str">
        <f>IF(OR(OR($A123="",TYPE(VLOOKUP($A123,Centrum!$D$3:$M$130,10,0))&gt;3),$A$1&lt;4),"",VLOOKUP(VLOOKUP($A123,Centrum!$D$3:$M$130,10,0),Centrum!$A$3:$CB$130,AT$132,0))</f>
        <v/>
      </c>
      <c r="AU123" s="333" t="str">
        <f>IF(OR(OR($A123="",TYPE(VLOOKUP($A123,Centrum!$D$3:$M$130,10,0))&gt;3),$A$1&lt;4),"",VLOOKUP(VLOOKUP($A123,Centrum!$D$3:$M$130,10,0),Centrum!$A$3:$CB$130,AU$132,0))</f>
        <v/>
      </c>
      <c r="AV123" s="333" t="str">
        <f>IF(OR(OR($A123="",TYPE(VLOOKUP($A123,Centrum!$D$3:$M$130,10,0))&gt;3),$A$1&lt;4),"",VLOOKUP(VLOOKUP($A123,Centrum!$D$3:$M$130,10,0),Centrum!$A$3:$CB$130,AV$132,0))</f>
        <v/>
      </c>
      <c r="BC123" s="333" t="str">
        <f>IF(OR(OR($A123="",TYPE(VLOOKUP($A123,Centrum!$D$3:$M$130,10,0))&gt;3),$A$1&lt;5),"",VLOOKUP(VLOOKUP($A123,Centrum!$D$3:$M$130,10,0),Centrum!$A$3:$CB$130,BC$132,0))</f>
        <v/>
      </c>
      <c r="BD123" s="333" t="str">
        <f>IF(OR(OR($A123="",TYPE(VLOOKUP($A123,Centrum!$D$3:$M$130,10,0))&gt;3),$A$1&lt;5),"",VLOOKUP(VLOOKUP($A123,Centrum!$D$3:$M$130,10,0),Centrum!$A$3:$CB$130,BD$132,0))</f>
        <v/>
      </c>
      <c r="BE123" s="333" t="str">
        <f>IF(OR(OR($A123="",TYPE(VLOOKUP($A123,Centrum!$D$3:$M$130,10,0))&gt;3),$A$1&lt;5),"",VLOOKUP(VLOOKUP($A123,Centrum!$D$3:$M$130,10,0),Centrum!$A$3:$CB$130,BE$132,0))</f>
        <v/>
      </c>
      <c r="BL123" s="333" t="str">
        <f>IF(OR(OR($A123="",TYPE(VLOOKUP($A123,Centrum!$D$3:$M$130,10,0))&gt;3),$A$1&lt;6),"",VLOOKUP(VLOOKUP($A123,Centrum!$D$3:$M$130,10,0),Centrum!$A$3:$CB$130,BL$132,0))</f>
        <v/>
      </c>
      <c r="BM123" s="333" t="str">
        <f>IF(OR(OR($A123="",TYPE(VLOOKUP($A123,Centrum!$D$3:$M$130,10,0))&gt;3),$A$1&lt;6),"",VLOOKUP(VLOOKUP($A123,Centrum!$D$3:$M$130,10,0),Centrum!$A$3:$CB$130,BM$132,0))</f>
        <v/>
      </c>
      <c r="BN123" s="333" t="str">
        <f>IF(OR(OR($A123="",TYPE(VLOOKUP($A123,Centrum!$D$3:$M$130,10,0))&gt;3),$A$1&lt;6),"",VLOOKUP(VLOOKUP($A123,Centrum!$D$3:$M$130,10,0),Centrum!$A$3:$CB$130,BN$132,0))</f>
        <v/>
      </c>
    </row>
    <row r="124" spans="1:66" x14ac:dyDescent="0.25">
      <c r="A124" s="333" t="str">
        <f>Centrum!A124</f>
        <v/>
      </c>
      <c r="B124" s="439" t="str">
        <f>IF(OR($A124="",TYPE(VLOOKUP($A124,Centrum!$D$3:$M$130,10,0))&gt;3),"",VLOOKUP(VLOOKUP(A124,Centrum!$D$3:$M$130,10,0),Centrum!$A$3:$CB$130,B$132,0))</f>
        <v/>
      </c>
      <c r="C124" s="333" t="str">
        <f>IF(OR($A124="",TYPE(VLOOKUP($A124,Centrum!$D$3:$M$130,10,0))&gt;3),"",VLOOKUP($A124,Centrum!$D$3:$M$130,10,0))</f>
        <v/>
      </c>
      <c r="E124" s="333" t="str">
        <f>IF(OR($A124="",TYPE(VLOOKUP($A124,Centrum!$D$3:$M$130,10,0))&gt;3),"",VLOOKUP(VLOOKUP($A124,Centrum!$D$3:$M$130,10,0),Centrum!$A$3:$CB$130,E$132,0))</f>
        <v/>
      </c>
      <c r="F124" s="333" t="str">
        <f>IF(OR($A124="",TYPE(VLOOKUP($A124,Centrum!$D$3:$M$130,10,0))&gt;3),"",VLOOKUP(VLOOKUP($A124,Centrum!$D$3:$M$130,10,0),Centrum!$A$3:$CB$130,F$132,0))</f>
        <v/>
      </c>
      <c r="G124" s="333" t="str">
        <f>IF(OR($A124="",TYPE(VLOOKUP($A124,Centrum!$D$3:$M$130,10,0))&gt;3),"",VLOOKUP(VLOOKUP($A124,Centrum!$D$3:$M$130,10,0),Centrum!$A$3:$CB$130,G$132,0))</f>
        <v/>
      </c>
      <c r="H124" s="333" t="str">
        <f>IF($A124="","",VLOOKUP(VLOOKUP($A124,Centrum!$D$3:$M$130,10,0),Centrum!$A$3:$CB$130,H$132,0))</f>
        <v/>
      </c>
      <c r="I124" s="333" t="str">
        <f>IF($A124="","",VLOOKUP(VLOOKUP($A124,Centrum!$D$3:$M$130,10,0),Centrum!$A$3:$CB$130,I$132,0))</f>
        <v/>
      </c>
      <c r="J124" s="333" t="str">
        <f>IF(OR($A124="",TYPE(VLOOKUP($A124,Centrum!$D$3:$M$130,10,0))&gt;3),"",VLOOKUP(VLOOKUP($A124,Centrum!$D$3:$M$130,10,0),Centrum!$A$3:$CB$130,J$132,0))</f>
        <v/>
      </c>
      <c r="L124" s="333" t="str">
        <f>IF(OR($A124="",TYPE(VLOOKUP($A124,Centrum!$D$3:$M$130,10,0))&gt;3),"",VLOOKUP(VLOOKUP($A124,Centrum!$D$3:$M$130,10,0),Centrum!$A$3:$CB$130,L$132,0))</f>
        <v/>
      </c>
      <c r="M124" s="333" t="str">
        <f>IF(OR($A124="",TYPE(VLOOKUP($A124,Centrum!$D$3:$M$130,10,0))&gt;3),"",VLOOKUP(VLOOKUP($A124,Centrum!$D$3:$M$130,10,0),Centrum!$A$3:$CB$130,M$132,0))</f>
        <v/>
      </c>
      <c r="N124" s="333" t="str">
        <f>IF(OR($A124="",TYPE(VLOOKUP($A124,Centrum!$D$3:$M$130,10,0))&gt;3),"",VLOOKUP(VLOOKUP($A124,Centrum!$D$3:$M$130,10,0),Centrum!$A$3:$CB$130,N$132,0))</f>
        <v/>
      </c>
      <c r="O124" s="333" t="str">
        <f>IF(OR($A124="",TYPE(VLOOKUP($A124,Centrum!$D$3:$M$130,10,0))&gt;3),"",VLOOKUP(VLOOKUP($A124,Centrum!$D$3:$M$130,10,0),Centrum!$A$3:$CB$130,O$132,0))</f>
        <v/>
      </c>
      <c r="P124" s="333" t="str">
        <f>IF(OR($A124="",TYPE(VLOOKUP($A124,Centrum!$D$3:$M$130,10,0))&gt;3),"",VLOOKUP(VLOOKUP($A124,Centrum!$D$3:$M$130,10,0),Centrum!$A$3:$CB$130,P$132,0))</f>
        <v/>
      </c>
      <c r="Q124" s="333" t="str">
        <f>IF(OR($A124="",TYPE(VLOOKUP($A124,Centrum!$D$3:$M$130,10,0))&gt;3),"",VLOOKUP(VLOOKUP($A124,Centrum!$D$3:$M$130,10,0),Centrum!$A$3:$CB$130,Q$132,0))</f>
        <v/>
      </c>
      <c r="S124" s="333" t="str">
        <f>IF(OR($A124="",TYPE(VLOOKUP($A124,Centrum!$D$3:$M$130,10,0))&gt;3),"",VLOOKUP(VLOOKUP($A124,Centrum!$D$3:$M$130,10,0),Centrum!$A$3:$CB$130,S$132,0))</f>
        <v/>
      </c>
      <c r="T124" s="333" t="str">
        <f>IF(OR($A124="",TYPE(VLOOKUP($A124,Centrum!$D$3:$M$130,10,0))&gt;3),"",VLOOKUP(VLOOKUP($A124,Centrum!$D$3:$M$130,10,0),Centrum!$A$3:$CB$130,T$132,0))</f>
        <v/>
      </c>
      <c r="U124" s="333" t="str">
        <f>IF(OR($A124="",TYPE(VLOOKUP($A124,Centrum!$D$3:$M$130,10,0))&gt;3),"",VLOOKUP(VLOOKUP($A124,Centrum!$D$3:$M$130,10,0),Centrum!$A$3:$CB$130,U$132,0))</f>
        <v/>
      </c>
      <c r="AB124" s="333" t="str">
        <f>IF(OR($A124="",TYPE(VLOOKUP($A124,Centrum!$D$3:$M$130,10,0))&gt;3),"",VLOOKUP(VLOOKUP($A124,Centrum!$D$3:$M$130,10,0),Centrum!$A$3:$CB$130,AB$132,0))</f>
        <v/>
      </c>
      <c r="AC124" s="333" t="str">
        <f>IF(OR($A124="",TYPE(VLOOKUP($A124,Centrum!$D$3:$M$130,10,0))&gt;3),"",VLOOKUP(VLOOKUP($A124,Centrum!$D$3:$M$130,10,0),Centrum!$A$3:$CB$130,AC$132,0))</f>
        <v/>
      </c>
      <c r="AD124" s="333" t="str">
        <f>IF(OR($A124="",TYPE(VLOOKUP($A124,Centrum!$D$3:$M$130,10,0))&gt;3),"",VLOOKUP(VLOOKUP($A124,Centrum!$D$3:$M$130,10,0),Centrum!$A$3:$CB$130,AD$132,0))</f>
        <v/>
      </c>
      <c r="AK124" s="333" t="str">
        <f>IF(OR($A124="",TYPE(VLOOKUP($A124,Centrum!$D$3:$M$130,10,0))&gt;3),"",VLOOKUP(VLOOKUP($A124,Centrum!$D$3:$M$130,10,0),Centrum!$A$3:$CB$130,AK$132,0))</f>
        <v/>
      </c>
      <c r="AL124" s="333" t="str">
        <f>IF(OR($A124="",TYPE(VLOOKUP($A124,Centrum!$D$3:$M$130,10,0))&gt;3),"",VLOOKUP(VLOOKUP($A124,Centrum!$D$3:$M$130,10,0),Centrum!$A$3:$CB$130,AL$132,0))</f>
        <v/>
      </c>
      <c r="AM124" s="333" t="str">
        <f>IF(OR($A124="",TYPE(VLOOKUP($A124,Centrum!$D$3:$M$130,10,0))&gt;3),"",VLOOKUP(VLOOKUP($A124,Centrum!$D$3:$M$130,10,0),Centrum!$A$3:$CB$130,AM$132,0))</f>
        <v/>
      </c>
      <c r="AT124" s="333" t="str">
        <f>IF(OR(OR($A124="",TYPE(VLOOKUP($A124,Centrum!$D$3:$M$130,10,0))&gt;3),$A$1&lt;4),"",VLOOKUP(VLOOKUP($A124,Centrum!$D$3:$M$130,10,0),Centrum!$A$3:$CB$130,AT$132,0))</f>
        <v/>
      </c>
      <c r="AU124" s="333" t="str">
        <f>IF(OR(OR($A124="",TYPE(VLOOKUP($A124,Centrum!$D$3:$M$130,10,0))&gt;3),$A$1&lt;4),"",VLOOKUP(VLOOKUP($A124,Centrum!$D$3:$M$130,10,0),Centrum!$A$3:$CB$130,AU$132,0))</f>
        <v/>
      </c>
      <c r="AV124" s="333" t="str">
        <f>IF(OR(OR($A124="",TYPE(VLOOKUP($A124,Centrum!$D$3:$M$130,10,0))&gt;3),$A$1&lt;4),"",VLOOKUP(VLOOKUP($A124,Centrum!$D$3:$M$130,10,0),Centrum!$A$3:$CB$130,AV$132,0))</f>
        <v/>
      </c>
      <c r="BC124" s="333" t="str">
        <f>IF(OR(OR($A124="",TYPE(VLOOKUP($A124,Centrum!$D$3:$M$130,10,0))&gt;3),$A$1&lt;5),"",VLOOKUP(VLOOKUP($A124,Centrum!$D$3:$M$130,10,0),Centrum!$A$3:$CB$130,BC$132,0))</f>
        <v/>
      </c>
      <c r="BD124" s="333" t="str">
        <f>IF(OR(OR($A124="",TYPE(VLOOKUP($A124,Centrum!$D$3:$M$130,10,0))&gt;3),$A$1&lt;5),"",VLOOKUP(VLOOKUP($A124,Centrum!$D$3:$M$130,10,0),Centrum!$A$3:$CB$130,BD$132,0))</f>
        <v/>
      </c>
      <c r="BE124" s="333" t="str">
        <f>IF(OR(OR($A124="",TYPE(VLOOKUP($A124,Centrum!$D$3:$M$130,10,0))&gt;3),$A$1&lt;5),"",VLOOKUP(VLOOKUP($A124,Centrum!$D$3:$M$130,10,0),Centrum!$A$3:$CB$130,BE$132,0))</f>
        <v/>
      </c>
      <c r="BL124" s="333" t="str">
        <f>IF(OR(OR($A124="",TYPE(VLOOKUP($A124,Centrum!$D$3:$M$130,10,0))&gt;3),$A$1&lt;6),"",VLOOKUP(VLOOKUP($A124,Centrum!$D$3:$M$130,10,0),Centrum!$A$3:$CB$130,BL$132,0))</f>
        <v/>
      </c>
      <c r="BM124" s="333" t="str">
        <f>IF(OR(OR($A124="",TYPE(VLOOKUP($A124,Centrum!$D$3:$M$130,10,0))&gt;3),$A$1&lt;6),"",VLOOKUP(VLOOKUP($A124,Centrum!$D$3:$M$130,10,0),Centrum!$A$3:$CB$130,BM$132,0))</f>
        <v/>
      </c>
      <c r="BN124" s="333" t="str">
        <f>IF(OR(OR($A124="",TYPE(VLOOKUP($A124,Centrum!$D$3:$M$130,10,0))&gt;3),$A$1&lt;6),"",VLOOKUP(VLOOKUP($A124,Centrum!$D$3:$M$130,10,0),Centrum!$A$3:$CB$130,BN$132,0))</f>
        <v/>
      </c>
    </row>
    <row r="125" spans="1:66" x14ac:dyDescent="0.25">
      <c r="A125" s="333" t="str">
        <f>Centrum!A125</f>
        <v/>
      </c>
      <c r="B125" s="439" t="str">
        <f>IF(OR($A125="",TYPE(VLOOKUP($A125,Centrum!$D$3:$M$130,10,0))&gt;3),"",VLOOKUP(VLOOKUP(A125,Centrum!$D$3:$M$130,10,0),Centrum!$A$3:$CB$130,B$132,0))</f>
        <v/>
      </c>
      <c r="C125" s="333" t="str">
        <f>IF(OR($A125="",TYPE(VLOOKUP($A125,Centrum!$D$3:$M$130,10,0))&gt;3),"",VLOOKUP($A125,Centrum!$D$3:$M$130,10,0))</f>
        <v/>
      </c>
      <c r="E125" s="333" t="str">
        <f>IF(OR($A125="",TYPE(VLOOKUP($A125,Centrum!$D$3:$M$130,10,0))&gt;3),"",VLOOKUP(VLOOKUP($A125,Centrum!$D$3:$M$130,10,0),Centrum!$A$3:$CB$130,E$132,0))</f>
        <v/>
      </c>
      <c r="F125" s="333" t="str">
        <f>IF(OR($A125="",TYPE(VLOOKUP($A125,Centrum!$D$3:$M$130,10,0))&gt;3),"",VLOOKUP(VLOOKUP($A125,Centrum!$D$3:$M$130,10,0),Centrum!$A$3:$CB$130,F$132,0))</f>
        <v/>
      </c>
      <c r="G125" s="333" t="str">
        <f>IF(OR($A125="",TYPE(VLOOKUP($A125,Centrum!$D$3:$M$130,10,0))&gt;3),"",VLOOKUP(VLOOKUP($A125,Centrum!$D$3:$M$130,10,0),Centrum!$A$3:$CB$130,G$132,0))</f>
        <v/>
      </c>
      <c r="H125" s="333" t="str">
        <f>IF($A125="","",VLOOKUP(VLOOKUP($A125,Centrum!$D$3:$M$130,10,0),Centrum!$A$3:$CB$130,H$132,0))</f>
        <v/>
      </c>
      <c r="I125" s="333" t="str">
        <f>IF($A125="","",VLOOKUP(VLOOKUP($A125,Centrum!$D$3:$M$130,10,0),Centrum!$A$3:$CB$130,I$132,0))</f>
        <v/>
      </c>
      <c r="J125" s="333" t="str">
        <f>IF(OR($A125="",TYPE(VLOOKUP($A125,Centrum!$D$3:$M$130,10,0))&gt;3),"",VLOOKUP(VLOOKUP($A125,Centrum!$D$3:$M$130,10,0),Centrum!$A$3:$CB$130,J$132,0))</f>
        <v/>
      </c>
      <c r="L125" s="333" t="str">
        <f>IF(OR($A125="",TYPE(VLOOKUP($A125,Centrum!$D$3:$M$130,10,0))&gt;3),"",VLOOKUP(VLOOKUP($A125,Centrum!$D$3:$M$130,10,0),Centrum!$A$3:$CB$130,L$132,0))</f>
        <v/>
      </c>
      <c r="M125" s="333" t="str">
        <f>IF(OR($A125="",TYPE(VLOOKUP($A125,Centrum!$D$3:$M$130,10,0))&gt;3),"",VLOOKUP(VLOOKUP($A125,Centrum!$D$3:$M$130,10,0),Centrum!$A$3:$CB$130,M$132,0))</f>
        <v/>
      </c>
      <c r="N125" s="333" t="str">
        <f>IF(OR($A125="",TYPE(VLOOKUP($A125,Centrum!$D$3:$M$130,10,0))&gt;3),"",VLOOKUP(VLOOKUP($A125,Centrum!$D$3:$M$130,10,0),Centrum!$A$3:$CB$130,N$132,0))</f>
        <v/>
      </c>
      <c r="O125" s="333" t="str">
        <f>IF(OR($A125="",TYPE(VLOOKUP($A125,Centrum!$D$3:$M$130,10,0))&gt;3),"",VLOOKUP(VLOOKUP($A125,Centrum!$D$3:$M$130,10,0),Centrum!$A$3:$CB$130,O$132,0))</f>
        <v/>
      </c>
      <c r="P125" s="333" t="str">
        <f>IF(OR($A125="",TYPE(VLOOKUP($A125,Centrum!$D$3:$M$130,10,0))&gt;3),"",VLOOKUP(VLOOKUP($A125,Centrum!$D$3:$M$130,10,0),Centrum!$A$3:$CB$130,P$132,0))</f>
        <v/>
      </c>
      <c r="Q125" s="333" t="str">
        <f>IF(OR($A125="",TYPE(VLOOKUP($A125,Centrum!$D$3:$M$130,10,0))&gt;3),"",VLOOKUP(VLOOKUP($A125,Centrum!$D$3:$M$130,10,0),Centrum!$A$3:$CB$130,Q$132,0))</f>
        <v/>
      </c>
      <c r="S125" s="333" t="str">
        <f>IF(OR($A125="",TYPE(VLOOKUP($A125,Centrum!$D$3:$M$130,10,0))&gt;3),"",VLOOKUP(VLOOKUP($A125,Centrum!$D$3:$M$130,10,0),Centrum!$A$3:$CB$130,S$132,0))</f>
        <v/>
      </c>
      <c r="T125" s="333" t="str">
        <f>IF(OR($A125="",TYPE(VLOOKUP($A125,Centrum!$D$3:$M$130,10,0))&gt;3),"",VLOOKUP(VLOOKUP($A125,Centrum!$D$3:$M$130,10,0),Centrum!$A$3:$CB$130,T$132,0))</f>
        <v/>
      </c>
      <c r="U125" s="333" t="str">
        <f>IF(OR($A125="",TYPE(VLOOKUP($A125,Centrum!$D$3:$M$130,10,0))&gt;3),"",VLOOKUP(VLOOKUP($A125,Centrum!$D$3:$M$130,10,0),Centrum!$A$3:$CB$130,U$132,0))</f>
        <v/>
      </c>
      <c r="AB125" s="333" t="str">
        <f>IF(OR($A125="",TYPE(VLOOKUP($A125,Centrum!$D$3:$M$130,10,0))&gt;3),"",VLOOKUP(VLOOKUP($A125,Centrum!$D$3:$M$130,10,0),Centrum!$A$3:$CB$130,AB$132,0))</f>
        <v/>
      </c>
      <c r="AC125" s="333" t="str">
        <f>IF(OR($A125="",TYPE(VLOOKUP($A125,Centrum!$D$3:$M$130,10,0))&gt;3),"",VLOOKUP(VLOOKUP($A125,Centrum!$D$3:$M$130,10,0),Centrum!$A$3:$CB$130,AC$132,0))</f>
        <v/>
      </c>
      <c r="AD125" s="333" t="str">
        <f>IF(OR($A125="",TYPE(VLOOKUP($A125,Centrum!$D$3:$M$130,10,0))&gt;3),"",VLOOKUP(VLOOKUP($A125,Centrum!$D$3:$M$130,10,0),Centrum!$A$3:$CB$130,AD$132,0))</f>
        <v/>
      </c>
      <c r="AK125" s="333" t="str">
        <f>IF(OR($A125="",TYPE(VLOOKUP($A125,Centrum!$D$3:$M$130,10,0))&gt;3),"",VLOOKUP(VLOOKUP($A125,Centrum!$D$3:$M$130,10,0),Centrum!$A$3:$CB$130,AK$132,0))</f>
        <v/>
      </c>
      <c r="AL125" s="333" t="str">
        <f>IF(OR($A125="",TYPE(VLOOKUP($A125,Centrum!$D$3:$M$130,10,0))&gt;3),"",VLOOKUP(VLOOKUP($A125,Centrum!$D$3:$M$130,10,0),Centrum!$A$3:$CB$130,AL$132,0))</f>
        <v/>
      </c>
      <c r="AM125" s="333" t="str">
        <f>IF(OR($A125="",TYPE(VLOOKUP($A125,Centrum!$D$3:$M$130,10,0))&gt;3),"",VLOOKUP(VLOOKUP($A125,Centrum!$D$3:$M$130,10,0),Centrum!$A$3:$CB$130,AM$132,0))</f>
        <v/>
      </c>
      <c r="AT125" s="333" t="str">
        <f>IF(OR(OR($A125="",TYPE(VLOOKUP($A125,Centrum!$D$3:$M$130,10,0))&gt;3),$A$1&lt;4),"",VLOOKUP(VLOOKUP($A125,Centrum!$D$3:$M$130,10,0),Centrum!$A$3:$CB$130,AT$132,0))</f>
        <v/>
      </c>
      <c r="AU125" s="333" t="str">
        <f>IF(OR(OR($A125="",TYPE(VLOOKUP($A125,Centrum!$D$3:$M$130,10,0))&gt;3),$A$1&lt;4),"",VLOOKUP(VLOOKUP($A125,Centrum!$D$3:$M$130,10,0),Centrum!$A$3:$CB$130,AU$132,0))</f>
        <v/>
      </c>
      <c r="AV125" s="333" t="str">
        <f>IF(OR(OR($A125="",TYPE(VLOOKUP($A125,Centrum!$D$3:$M$130,10,0))&gt;3),$A$1&lt;4),"",VLOOKUP(VLOOKUP($A125,Centrum!$D$3:$M$130,10,0),Centrum!$A$3:$CB$130,AV$132,0))</f>
        <v/>
      </c>
      <c r="BC125" s="333" t="str">
        <f>IF(OR(OR($A125="",TYPE(VLOOKUP($A125,Centrum!$D$3:$M$130,10,0))&gt;3),$A$1&lt;5),"",VLOOKUP(VLOOKUP($A125,Centrum!$D$3:$M$130,10,0),Centrum!$A$3:$CB$130,BC$132,0))</f>
        <v/>
      </c>
      <c r="BD125" s="333" t="str">
        <f>IF(OR(OR($A125="",TYPE(VLOOKUP($A125,Centrum!$D$3:$M$130,10,0))&gt;3),$A$1&lt;5),"",VLOOKUP(VLOOKUP($A125,Centrum!$D$3:$M$130,10,0),Centrum!$A$3:$CB$130,BD$132,0))</f>
        <v/>
      </c>
      <c r="BE125" s="333" t="str">
        <f>IF(OR(OR($A125="",TYPE(VLOOKUP($A125,Centrum!$D$3:$M$130,10,0))&gt;3),$A$1&lt;5),"",VLOOKUP(VLOOKUP($A125,Centrum!$D$3:$M$130,10,0),Centrum!$A$3:$CB$130,BE$132,0))</f>
        <v/>
      </c>
      <c r="BL125" s="333" t="str">
        <f>IF(OR(OR($A125="",TYPE(VLOOKUP($A125,Centrum!$D$3:$M$130,10,0))&gt;3),$A$1&lt;6),"",VLOOKUP(VLOOKUP($A125,Centrum!$D$3:$M$130,10,0),Centrum!$A$3:$CB$130,BL$132,0))</f>
        <v/>
      </c>
      <c r="BM125" s="333" t="str">
        <f>IF(OR(OR($A125="",TYPE(VLOOKUP($A125,Centrum!$D$3:$M$130,10,0))&gt;3),$A$1&lt;6),"",VLOOKUP(VLOOKUP($A125,Centrum!$D$3:$M$130,10,0),Centrum!$A$3:$CB$130,BM$132,0))</f>
        <v/>
      </c>
      <c r="BN125" s="333" t="str">
        <f>IF(OR(OR($A125="",TYPE(VLOOKUP($A125,Centrum!$D$3:$M$130,10,0))&gt;3),$A$1&lt;6),"",VLOOKUP(VLOOKUP($A125,Centrum!$D$3:$M$130,10,0),Centrum!$A$3:$CB$130,BN$132,0))</f>
        <v/>
      </c>
    </row>
    <row r="126" spans="1:66" x14ac:dyDescent="0.25">
      <c r="A126" s="333" t="str">
        <f>Centrum!A126</f>
        <v/>
      </c>
      <c r="B126" s="439" t="str">
        <f>IF(OR($A126="",TYPE(VLOOKUP($A126,Centrum!$D$3:$M$130,10,0))&gt;3),"",VLOOKUP(VLOOKUP(A126,Centrum!$D$3:$M$130,10,0),Centrum!$A$3:$CB$130,B$132,0))</f>
        <v/>
      </c>
      <c r="C126" s="333" t="str">
        <f>IF(OR($A126="",TYPE(VLOOKUP($A126,Centrum!$D$3:$M$130,10,0))&gt;3),"",VLOOKUP($A126,Centrum!$D$3:$M$130,10,0))</f>
        <v/>
      </c>
      <c r="E126" s="333" t="str">
        <f>IF(OR($A126="",TYPE(VLOOKUP($A126,Centrum!$D$3:$M$130,10,0))&gt;3),"",VLOOKUP(VLOOKUP($A126,Centrum!$D$3:$M$130,10,0),Centrum!$A$3:$CB$130,E$132,0))</f>
        <v/>
      </c>
      <c r="F126" s="333" t="str">
        <f>IF(OR($A126="",TYPE(VLOOKUP($A126,Centrum!$D$3:$M$130,10,0))&gt;3),"",VLOOKUP(VLOOKUP($A126,Centrum!$D$3:$M$130,10,0),Centrum!$A$3:$CB$130,F$132,0))</f>
        <v/>
      </c>
      <c r="G126" s="333" t="str">
        <f>IF(OR($A126="",TYPE(VLOOKUP($A126,Centrum!$D$3:$M$130,10,0))&gt;3),"",VLOOKUP(VLOOKUP($A126,Centrum!$D$3:$M$130,10,0),Centrum!$A$3:$CB$130,G$132,0))</f>
        <v/>
      </c>
      <c r="H126" s="333" t="str">
        <f>IF($A126="","",VLOOKUP(VLOOKUP($A126,Centrum!$D$3:$M$130,10,0),Centrum!$A$3:$CB$130,H$132,0))</f>
        <v/>
      </c>
      <c r="I126" s="333" t="str">
        <f>IF($A126="","",VLOOKUP(VLOOKUP($A126,Centrum!$D$3:$M$130,10,0),Centrum!$A$3:$CB$130,I$132,0))</f>
        <v/>
      </c>
      <c r="J126" s="333" t="str">
        <f>IF(OR($A126="",TYPE(VLOOKUP($A126,Centrum!$D$3:$M$130,10,0))&gt;3),"",VLOOKUP(VLOOKUP($A126,Centrum!$D$3:$M$130,10,0),Centrum!$A$3:$CB$130,J$132,0))</f>
        <v/>
      </c>
      <c r="L126" s="333" t="str">
        <f>IF(OR($A126="",TYPE(VLOOKUP($A126,Centrum!$D$3:$M$130,10,0))&gt;3),"",VLOOKUP(VLOOKUP($A126,Centrum!$D$3:$M$130,10,0),Centrum!$A$3:$CB$130,L$132,0))</f>
        <v/>
      </c>
      <c r="M126" s="333" t="str">
        <f>IF(OR($A126="",TYPE(VLOOKUP($A126,Centrum!$D$3:$M$130,10,0))&gt;3),"",VLOOKUP(VLOOKUP($A126,Centrum!$D$3:$M$130,10,0),Centrum!$A$3:$CB$130,M$132,0))</f>
        <v/>
      </c>
      <c r="N126" s="333" t="str">
        <f>IF(OR($A126="",TYPE(VLOOKUP($A126,Centrum!$D$3:$M$130,10,0))&gt;3),"",VLOOKUP(VLOOKUP($A126,Centrum!$D$3:$M$130,10,0),Centrum!$A$3:$CB$130,N$132,0))</f>
        <v/>
      </c>
      <c r="O126" s="333" t="str">
        <f>IF(OR($A126="",TYPE(VLOOKUP($A126,Centrum!$D$3:$M$130,10,0))&gt;3),"",VLOOKUP(VLOOKUP($A126,Centrum!$D$3:$M$130,10,0),Centrum!$A$3:$CB$130,O$132,0))</f>
        <v/>
      </c>
      <c r="P126" s="333" t="str">
        <f>IF(OR($A126="",TYPE(VLOOKUP($A126,Centrum!$D$3:$M$130,10,0))&gt;3),"",VLOOKUP(VLOOKUP($A126,Centrum!$D$3:$M$130,10,0),Centrum!$A$3:$CB$130,P$132,0))</f>
        <v/>
      </c>
      <c r="Q126" s="333" t="str">
        <f>IF(OR($A126="",TYPE(VLOOKUP($A126,Centrum!$D$3:$M$130,10,0))&gt;3),"",VLOOKUP(VLOOKUP($A126,Centrum!$D$3:$M$130,10,0),Centrum!$A$3:$CB$130,Q$132,0))</f>
        <v/>
      </c>
      <c r="S126" s="333" t="str">
        <f>IF(OR($A126="",TYPE(VLOOKUP($A126,Centrum!$D$3:$M$130,10,0))&gt;3),"",VLOOKUP(VLOOKUP($A126,Centrum!$D$3:$M$130,10,0),Centrum!$A$3:$CB$130,S$132,0))</f>
        <v/>
      </c>
      <c r="T126" s="333" t="str">
        <f>IF(OR($A126="",TYPE(VLOOKUP($A126,Centrum!$D$3:$M$130,10,0))&gt;3),"",VLOOKUP(VLOOKUP($A126,Centrum!$D$3:$M$130,10,0),Centrum!$A$3:$CB$130,T$132,0))</f>
        <v/>
      </c>
      <c r="U126" s="333" t="str">
        <f>IF(OR($A126="",TYPE(VLOOKUP($A126,Centrum!$D$3:$M$130,10,0))&gt;3),"",VLOOKUP(VLOOKUP($A126,Centrum!$D$3:$M$130,10,0),Centrum!$A$3:$CB$130,U$132,0))</f>
        <v/>
      </c>
      <c r="AB126" s="333" t="str">
        <f>IF(OR($A126="",TYPE(VLOOKUP($A126,Centrum!$D$3:$M$130,10,0))&gt;3),"",VLOOKUP(VLOOKUP($A126,Centrum!$D$3:$M$130,10,0),Centrum!$A$3:$CB$130,AB$132,0))</f>
        <v/>
      </c>
      <c r="AC126" s="333" t="str">
        <f>IF(OR($A126="",TYPE(VLOOKUP($A126,Centrum!$D$3:$M$130,10,0))&gt;3),"",VLOOKUP(VLOOKUP($A126,Centrum!$D$3:$M$130,10,0),Centrum!$A$3:$CB$130,AC$132,0))</f>
        <v/>
      </c>
      <c r="AD126" s="333" t="str">
        <f>IF(OR($A126="",TYPE(VLOOKUP($A126,Centrum!$D$3:$M$130,10,0))&gt;3),"",VLOOKUP(VLOOKUP($A126,Centrum!$D$3:$M$130,10,0),Centrum!$A$3:$CB$130,AD$132,0))</f>
        <v/>
      </c>
      <c r="AK126" s="333" t="str">
        <f>IF(OR($A126="",TYPE(VLOOKUP($A126,Centrum!$D$3:$M$130,10,0))&gt;3),"",VLOOKUP(VLOOKUP($A126,Centrum!$D$3:$M$130,10,0),Centrum!$A$3:$CB$130,AK$132,0))</f>
        <v/>
      </c>
      <c r="AL126" s="333" t="str">
        <f>IF(OR($A126="",TYPE(VLOOKUP($A126,Centrum!$D$3:$M$130,10,0))&gt;3),"",VLOOKUP(VLOOKUP($A126,Centrum!$D$3:$M$130,10,0),Centrum!$A$3:$CB$130,AL$132,0))</f>
        <v/>
      </c>
      <c r="AM126" s="333" t="str">
        <f>IF(OR($A126="",TYPE(VLOOKUP($A126,Centrum!$D$3:$M$130,10,0))&gt;3),"",VLOOKUP(VLOOKUP($A126,Centrum!$D$3:$M$130,10,0),Centrum!$A$3:$CB$130,AM$132,0))</f>
        <v/>
      </c>
      <c r="AT126" s="333" t="str">
        <f>IF(OR(OR($A126="",TYPE(VLOOKUP($A126,Centrum!$D$3:$M$130,10,0))&gt;3),$A$1&lt;4),"",VLOOKUP(VLOOKUP($A126,Centrum!$D$3:$M$130,10,0),Centrum!$A$3:$CB$130,AT$132,0))</f>
        <v/>
      </c>
      <c r="AU126" s="333" t="str">
        <f>IF(OR(OR($A126="",TYPE(VLOOKUP($A126,Centrum!$D$3:$M$130,10,0))&gt;3),$A$1&lt;4),"",VLOOKUP(VLOOKUP($A126,Centrum!$D$3:$M$130,10,0),Centrum!$A$3:$CB$130,AU$132,0))</f>
        <v/>
      </c>
      <c r="AV126" s="333" t="str">
        <f>IF(OR(OR($A126="",TYPE(VLOOKUP($A126,Centrum!$D$3:$M$130,10,0))&gt;3),$A$1&lt;4),"",VLOOKUP(VLOOKUP($A126,Centrum!$D$3:$M$130,10,0),Centrum!$A$3:$CB$130,AV$132,0))</f>
        <v/>
      </c>
      <c r="BC126" s="333" t="str">
        <f>IF(OR(OR($A126="",TYPE(VLOOKUP($A126,Centrum!$D$3:$M$130,10,0))&gt;3),$A$1&lt;5),"",VLOOKUP(VLOOKUP($A126,Centrum!$D$3:$M$130,10,0),Centrum!$A$3:$CB$130,BC$132,0))</f>
        <v/>
      </c>
      <c r="BD126" s="333" t="str">
        <f>IF(OR(OR($A126="",TYPE(VLOOKUP($A126,Centrum!$D$3:$M$130,10,0))&gt;3),$A$1&lt;5),"",VLOOKUP(VLOOKUP($A126,Centrum!$D$3:$M$130,10,0),Centrum!$A$3:$CB$130,BD$132,0))</f>
        <v/>
      </c>
      <c r="BE126" s="333" t="str">
        <f>IF(OR(OR($A126="",TYPE(VLOOKUP($A126,Centrum!$D$3:$M$130,10,0))&gt;3),$A$1&lt;5),"",VLOOKUP(VLOOKUP($A126,Centrum!$D$3:$M$130,10,0),Centrum!$A$3:$CB$130,BE$132,0))</f>
        <v/>
      </c>
      <c r="BL126" s="333" t="str">
        <f>IF(OR(OR($A126="",TYPE(VLOOKUP($A126,Centrum!$D$3:$M$130,10,0))&gt;3),$A$1&lt;6),"",VLOOKUP(VLOOKUP($A126,Centrum!$D$3:$M$130,10,0),Centrum!$A$3:$CB$130,BL$132,0))</f>
        <v/>
      </c>
      <c r="BM126" s="333" t="str">
        <f>IF(OR(OR($A126="",TYPE(VLOOKUP($A126,Centrum!$D$3:$M$130,10,0))&gt;3),$A$1&lt;6),"",VLOOKUP(VLOOKUP($A126,Centrum!$D$3:$M$130,10,0),Centrum!$A$3:$CB$130,BM$132,0))</f>
        <v/>
      </c>
      <c r="BN126" s="333" t="str">
        <f>IF(OR(OR($A126="",TYPE(VLOOKUP($A126,Centrum!$D$3:$M$130,10,0))&gt;3),$A$1&lt;6),"",VLOOKUP(VLOOKUP($A126,Centrum!$D$3:$M$130,10,0),Centrum!$A$3:$CB$130,BN$132,0))</f>
        <v/>
      </c>
    </row>
    <row r="127" spans="1:66" x14ac:dyDescent="0.25">
      <c r="A127" s="333" t="str">
        <f>Centrum!A127</f>
        <v/>
      </c>
      <c r="B127" s="439" t="str">
        <f>IF(OR($A127="",TYPE(VLOOKUP($A127,Centrum!$D$3:$M$130,10,0))&gt;3),"",VLOOKUP(VLOOKUP(A127,Centrum!$D$3:$M$130,10,0),Centrum!$A$3:$CB$130,B$132,0))</f>
        <v/>
      </c>
      <c r="C127" s="333" t="str">
        <f>IF(OR($A127="",TYPE(VLOOKUP($A127,Centrum!$D$3:$M$130,10,0))&gt;3),"",VLOOKUP($A127,Centrum!$D$3:$M$130,10,0))</f>
        <v/>
      </c>
      <c r="E127" s="333" t="str">
        <f>IF(OR($A127="",TYPE(VLOOKUP($A127,Centrum!$D$3:$M$130,10,0))&gt;3),"",VLOOKUP(VLOOKUP($A127,Centrum!$D$3:$M$130,10,0),Centrum!$A$3:$CB$130,E$132,0))</f>
        <v/>
      </c>
      <c r="F127" s="333" t="str">
        <f>IF(OR($A127="",TYPE(VLOOKUP($A127,Centrum!$D$3:$M$130,10,0))&gt;3),"",VLOOKUP(VLOOKUP($A127,Centrum!$D$3:$M$130,10,0),Centrum!$A$3:$CB$130,F$132,0))</f>
        <v/>
      </c>
      <c r="G127" s="333" t="str">
        <f>IF(OR($A127="",TYPE(VLOOKUP($A127,Centrum!$D$3:$M$130,10,0))&gt;3),"",VLOOKUP(VLOOKUP($A127,Centrum!$D$3:$M$130,10,0),Centrum!$A$3:$CB$130,G$132,0))</f>
        <v/>
      </c>
      <c r="H127" s="333" t="str">
        <f>IF($A127="","",VLOOKUP(VLOOKUP($A127,Centrum!$D$3:$M$130,10,0),Centrum!$A$3:$CB$130,H$132,0))</f>
        <v/>
      </c>
      <c r="I127" s="333" t="str">
        <f>IF($A127="","",VLOOKUP(VLOOKUP($A127,Centrum!$D$3:$M$130,10,0),Centrum!$A$3:$CB$130,I$132,0))</f>
        <v/>
      </c>
      <c r="J127" s="333" t="str">
        <f>IF(OR($A127="",TYPE(VLOOKUP($A127,Centrum!$D$3:$M$130,10,0))&gt;3),"",VLOOKUP(VLOOKUP($A127,Centrum!$D$3:$M$130,10,0),Centrum!$A$3:$CB$130,J$132,0))</f>
        <v/>
      </c>
      <c r="L127" s="333" t="str">
        <f>IF(OR($A127="",TYPE(VLOOKUP($A127,Centrum!$D$3:$M$130,10,0))&gt;3),"",VLOOKUP(VLOOKUP($A127,Centrum!$D$3:$M$130,10,0),Centrum!$A$3:$CB$130,L$132,0))</f>
        <v/>
      </c>
      <c r="M127" s="333" t="str">
        <f>IF(OR($A127="",TYPE(VLOOKUP($A127,Centrum!$D$3:$M$130,10,0))&gt;3),"",VLOOKUP(VLOOKUP($A127,Centrum!$D$3:$M$130,10,0),Centrum!$A$3:$CB$130,M$132,0))</f>
        <v/>
      </c>
      <c r="N127" s="333" t="str">
        <f>IF(OR($A127="",TYPE(VLOOKUP($A127,Centrum!$D$3:$M$130,10,0))&gt;3),"",VLOOKUP(VLOOKUP($A127,Centrum!$D$3:$M$130,10,0),Centrum!$A$3:$CB$130,N$132,0))</f>
        <v/>
      </c>
      <c r="O127" s="333" t="str">
        <f>IF(OR($A127="",TYPE(VLOOKUP($A127,Centrum!$D$3:$M$130,10,0))&gt;3),"",VLOOKUP(VLOOKUP($A127,Centrum!$D$3:$M$130,10,0),Centrum!$A$3:$CB$130,O$132,0))</f>
        <v/>
      </c>
      <c r="P127" s="333" t="str">
        <f>IF(OR($A127="",TYPE(VLOOKUP($A127,Centrum!$D$3:$M$130,10,0))&gt;3),"",VLOOKUP(VLOOKUP($A127,Centrum!$D$3:$M$130,10,0),Centrum!$A$3:$CB$130,P$132,0))</f>
        <v/>
      </c>
      <c r="Q127" s="333" t="str">
        <f>IF(OR($A127="",TYPE(VLOOKUP($A127,Centrum!$D$3:$M$130,10,0))&gt;3),"",VLOOKUP(VLOOKUP($A127,Centrum!$D$3:$M$130,10,0),Centrum!$A$3:$CB$130,Q$132,0))</f>
        <v/>
      </c>
      <c r="S127" s="333" t="str">
        <f>IF(OR($A127="",TYPE(VLOOKUP($A127,Centrum!$D$3:$M$130,10,0))&gt;3),"",VLOOKUP(VLOOKUP($A127,Centrum!$D$3:$M$130,10,0),Centrum!$A$3:$CB$130,S$132,0))</f>
        <v/>
      </c>
      <c r="T127" s="333" t="str">
        <f>IF(OR($A127="",TYPE(VLOOKUP($A127,Centrum!$D$3:$M$130,10,0))&gt;3),"",VLOOKUP(VLOOKUP($A127,Centrum!$D$3:$M$130,10,0),Centrum!$A$3:$CB$130,T$132,0))</f>
        <v/>
      </c>
      <c r="U127" s="333" t="str">
        <f>IF(OR($A127="",TYPE(VLOOKUP($A127,Centrum!$D$3:$M$130,10,0))&gt;3),"",VLOOKUP(VLOOKUP($A127,Centrum!$D$3:$M$130,10,0),Centrum!$A$3:$CB$130,U$132,0))</f>
        <v/>
      </c>
      <c r="AB127" s="333" t="str">
        <f>IF(OR($A127="",TYPE(VLOOKUP($A127,Centrum!$D$3:$M$130,10,0))&gt;3),"",VLOOKUP(VLOOKUP($A127,Centrum!$D$3:$M$130,10,0),Centrum!$A$3:$CB$130,AB$132,0))</f>
        <v/>
      </c>
      <c r="AC127" s="333" t="str">
        <f>IF(OR($A127="",TYPE(VLOOKUP($A127,Centrum!$D$3:$M$130,10,0))&gt;3),"",VLOOKUP(VLOOKUP($A127,Centrum!$D$3:$M$130,10,0),Centrum!$A$3:$CB$130,AC$132,0))</f>
        <v/>
      </c>
      <c r="AD127" s="333" t="str">
        <f>IF(OR($A127="",TYPE(VLOOKUP($A127,Centrum!$D$3:$M$130,10,0))&gt;3),"",VLOOKUP(VLOOKUP($A127,Centrum!$D$3:$M$130,10,0),Centrum!$A$3:$CB$130,AD$132,0))</f>
        <v/>
      </c>
      <c r="AK127" s="333" t="str">
        <f>IF(OR($A127="",TYPE(VLOOKUP($A127,Centrum!$D$3:$M$130,10,0))&gt;3),"",VLOOKUP(VLOOKUP($A127,Centrum!$D$3:$M$130,10,0),Centrum!$A$3:$CB$130,AK$132,0))</f>
        <v/>
      </c>
      <c r="AL127" s="333" t="str">
        <f>IF(OR($A127="",TYPE(VLOOKUP($A127,Centrum!$D$3:$M$130,10,0))&gt;3),"",VLOOKUP(VLOOKUP($A127,Centrum!$D$3:$M$130,10,0),Centrum!$A$3:$CB$130,AL$132,0))</f>
        <v/>
      </c>
      <c r="AM127" s="333" t="str">
        <f>IF(OR($A127="",TYPE(VLOOKUP($A127,Centrum!$D$3:$M$130,10,0))&gt;3),"",VLOOKUP(VLOOKUP($A127,Centrum!$D$3:$M$130,10,0),Centrum!$A$3:$CB$130,AM$132,0))</f>
        <v/>
      </c>
      <c r="AT127" s="333" t="str">
        <f>IF(OR(OR($A127="",TYPE(VLOOKUP($A127,Centrum!$D$3:$M$130,10,0))&gt;3),$A$1&lt;4),"",VLOOKUP(VLOOKUP($A127,Centrum!$D$3:$M$130,10,0),Centrum!$A$3:$CB$130,AT$132,0))</f>
        <v/>
      </c>
      <c r="AU127" s="333" t="str">
        <f>IF(OR(OR($A127="",TYPE(VLOOKUP($A127,Centrum!$D$3:$M$130,10,0))&gt;3),$A$1&lt;4),"",VLOOKUP(VLOOKUP($A127,Centrum!$D$3:$M$130,10,0),Centrum!$A$3:$CB$130,AU$132,0))</f>
        <v/>
      </c>
      <c r="AV127" s="333" t="str">
        <f>IF(OR(OR($A127="",TYPE(VLOOKUP($A127,Centrum!$D$3:$M$130,10,0))&gt;3),$A$1&lt;4),"",VLOOKUP(VLOOKUP($A127,Centrum!$D$3:$M$130,10,0),Centrum!$A$3:$CB$130,AV$132,0))</f>
        <v/>
      </c>
      <c r="BC127" s="333" t="str">
        <f>IF(OR(OR($A127="",TYPE(VLOOKUP($A127,Centrum!$D$3:$M$130,10,0))&gt;3),$A$1&lt;5),"",VLOOKUP(VLOOKUP($A127,Centrum!$D$3:$M$130,10,0),Centrum!$A$3:$CB$130,BC$132,0))</f>
        <v/>
      </c>
      <c r="BD127" s="333" t="str">
        <f>IF(OR(OR($A127="",TYPE(VLOOKUP($A127,Centrum!$D$3:$M$130,10,0))&gt;3),$A$1&lt;5),"",VLOOKUP(VLOOKUP($A127,Centrum!$D$3:$M$130,10,0),Centrum!$A$3:$CB$130,BD$132,0))</f>
        <v/>
      </c>
      <c r="BE127" s="333" t="str">
        <f>IF(OR(OR($A127="",TYPE(VLOOKUP($A127,Centrum!$D$3:$M$130,10,0))&gt;3),$A$1&lt;5),"",VLOOKUP(VLOOKUP($A127,Centrum!$D$3:$M$130,10,0),Centrum!$A$3:$CB$130,BE$132,0))</f>
        <v/>
      </c>
      <c r="BL127" s="333" t="str">
        <f>IF(OR(OR($A127="",TYPE(VLOOKUP($A127,Centrum!$D$3:$M$130,10,0))&gt;3),$A$1&lt;6),"",VLOOKUP(VLOOKUP($A127,Centrum!$D$3:$M$130,10,0),Centrum!$A$3:$CB$130,BL$132,0))</f>
        <v/>
      </c>
      <c r="BM127" s="333" t="str">
        <f>IF(OR(OR($A127="",TYPE(VLOOKUP($A127,Centrum!$D$3:$M$130,10,0))&gt;3),$A$1&lt;6),"",VLOOKUP(VLOOKUP($A127,Centrum!$D$3:$M$130,10,0),Centrum!$A$3:$CB$130,BM$132,0))</f>
        <v/>
      </c>
      <c r="BN127" s="333" t="str">
        <f>IF(OR(OR($A127="",TYPE(VLOOKUP($A127,Centrum!$D$3:$M$130,10,0))&gt;3),$A$1&lt;6),"",VLOOKUP(VLOOKUP($A127,Centrum!$D$3:$M$130,10,0),Centrum!$A$3:$CB$130,BN$132,0))</f>
        <v/>
      </c>
    </row>
    <row r="128" spans="1:66" x14ac:dyDescent="0.25">
      <c r="A128" s="333" t="str">
        <f>Centrum!A128</f>
        <v/>
      </c>
      <c r="B128" s="439" t="str">
        <f>IF(OR($A128="",TYPE(VLOOKUP($A128,Centrum!$D$3:$M$130,10,0))&gt;3),"",VLOOKUP(VLOOKUP(A128,Centrum!$D$3:$M$130,10,0),Centrum!$A$3:$CB$130,B$132,0))</f>
        <v/>
      </c>
      <c r="C128" s="333" t="str">
        <f>IF(OR($A128="",TYPE(VLOOKUP($A128,Centrum!$D$3:$M$130,10,0))&gt;3),"",VLOOKUP($A128,Centrum!$D$3:$M$130,10,0))</f>
        <v/>
      </c>
      <c r="E128" s="333" t="str">
        <f>IF(OR($A128="",TYPE(VLOOKUP($A128,Centrum!$D$3:$M$130,10,0))&gt;3),"",VLOOKUP(VLOOKUP($A128,Centrum!$D$3:$M$130,10,0),Centrum!$A$3:$CB$130,E$132,0))</f>
        <v/>
      </c>
      <c r="F128" s="333" t="str">
        <f>IF(OR($A128="",TYPE(VLOOKUP($A128,Centrum!$D$3:$M$130,10,0))&gt;3),"",VLOOKUP(VLOOKUP($A128,Centrum!$D$3:$M$130,10,0),Centrum!$A$3:$CB$130,F$132,0))</f>
        <v/>
      </c>
      <c r="G128" s="333" t="str">
        <f>IF(OR($A128="",TYPE(VLOOKUP($A128,Centrum!$D$3:$M$130,10,0))&gt;3),"",VLOOKUP(VLOOKUP($A128,Centrum!$D$3:$M$130,10,0),Centrum!$A$3:$CB$130,G$132,0))</f>
        <v/>
      </c>
      <c r="H128" s="333" t="str">
        <f>IF($A128="","",VLOOKUP(VLOOKUP($A128,Centrum!$D$3:$M$130,10,0),Centrum!$A$3:$CB$130,H$132,0))</f>
        <v/>
      </c>
      <c r="I128" s="333" t="str">
        <f>IF($A128="","",VLOOKUP(VLOOKUP($A128,Centrum!$D$3:$M$130,10,0),Centrum!$A$3:$CB$130,I$132,0))</f>
        <v/>
      </c>
      <c r="J128" s="333" t="str">
        <f>IF(OR($A128="",TYPE(VLOOKUP($A128,Centrum!$D$3:$M$130,10,0))&gt;3),"",VLOOKUP(VLOOKUP($A128,Centrum!$D$3:$M$130,10,0),Centrum!$A$3:$CB$130,J$132,0))</f>
        <v/>
      </c>
      <c r="L128" s="333" t="str">
        <f>IF(OR($A128="",TYPE(VLOOKUP($A128,Centrum!$D$3:$M$130,10,0))&gt;3),"",VLOOKUP(VLOOKUP($A128,Centrum!$D$3:$M$130,10,0),Centrum!$A$3:$CB$130,L$132,0))</f>
        <v/>
      </c>
      <c r="M128" s="333" t="str">
        <f>IF(OR($A128="",TYPE(VLOOKUP($A128,Centrum!$D$3:$M$130,10,0))&gt;3),"",VLOOKUP(VLOOKUP($A128,Centrum!$D$3:$M$130,10,0),Centrum!$A$3:$CB$130,M$132,0))</f>
        <v/>
      </c>
      <c r="N128" s="333" t="str">
        <f>IF(OR($A128="",TYPE(VLOOKUP($A128,Centrum!$D$3:$M$130,10,0))&gt;3),"",VLOOKUP(VLOOKUP($A128,Centrum!$D$3:$M$130,10,0),Centrum!$A$3:$CB$130,N$132,0))</f>
        <v/>
      </c>
      <c r="O128" s="333" t="str">
        <f>IF(OR($A128="",TYPE(VLOOKUP($A128,Centrum!$D$3:$M$130,10,0))&gt;3),"",VLOOKUP(VLOOKUP($A128,Centrum!$D$3:$M$130,10,0),Centrum!$A$3:$CB$130,O$132,0))</f>
        <v/>
      </c>
      <c r="P128" s="333" t="str">
        <f>IF(OR($A128="",TYPE(VLOOKUP($A128,Centrum!$D$3:$M$130,10,0))&gt;3),"",VLOOKUP(VLOOKUP($A128,Centrum!$D$3:$M$130,10,0),Centrum!$A$3:$CB$130,P$132,0))</f>
        <v/>
      </c>
      <c r="Q128" s="333" t="str">
        <f>IF(OR($A128="",TYPE(VLOOKUP($A128,Centrum!$D$3:$M$130,10,0))&gt;3),"",VLOOKUP(VLOOKUP($A128,Centrum!$D$3:$M$130,10,0),Centrum!$A$3:$CB$130,Q$132,0))</f>
        <v/>
      </c>
      <c r="S128" s="333" t="str">
        <f>IF(OR($A128="",TYPE(VLOOKUP($A128,Centrum!$D$3:$M$130,10,0))&gt;3),"",VLOOKUP(VLOOKUP($A128,Centrum!$D$3:$M$130,10,0),Centrum!$A$3:$CB$130,S$132,0))</f>
        <v/>
      </c>
      <c r="T128" s="333" t="str">
        <f>IF(OR($A128="",TYPE(VLOOKUP($A128,Centrum!$D$3:$M$130,10,0))&gt;3),"",VLOOKUP(VLOOKUP($A128,Centrum!$D$3:$M$130,10,0),Centrum!$A$3:$CB$130,T$132,0))</f>
        <v/>
      </c>
      <c r="U128" s="333" t="str">
        <f>IF(OR($A128="",TYPE(VLOOKUP($A128,Centrum!$D$3:$M$130,10,0))&gt;3),"",VLOOKUP(VLOOKUP($A128,Centrum!$D$3:$M$130,10,0),Centrum!$A$3:$CB$130,U$132,0))</f>
        <v/>
      </c>
      <c r="AB128" s="333" t="str">
        <f>IF(OR($A128="",TYPE(VLOOKUP($A128,Centrum!$D$3:$M$130,10,0))&gt;3),"",VLOOKUP(VLOOKUP($A128,Centrum!$D$3:$M$130,10,0),Centrum!$A$3:$CB$130,AB$132,0))</f>
        <v/>
      </c>
      <c r="AC128" s="333" t="str">
        <f>IF(OR($A128="",TYPE(VLOOKUP($A128,Centrum!$D$3:$M$130,10,0))&gt;3),"",VLOOKUP(VLOOKUP($A128,Centrum!$D$3:$M$130,10,0),Centrum!$A$3:$CB$130,AC$132,0))</f>
        <v/>
      </c>
      <c r="AD128" s="333" t="str">
        <f>IF(OR($A128="",TYPE(VLOOKUP($A128,Centrum!$D$3:$M$130,10,0))&gt;3),"",VLOOKUP(VLOOKUP($A128,Centrum!$D$3:$M$130,10,0),Centrum!$A$3:$CB$130,AD$132,0))</f>
        <v/>
      </c>
      <c r="AK128" s="333" t="str">
        <f>IF(OR($A128="",TYPE(VLOOKUP($A128,Centrum!$D$3:$M$130,10,0))&gt;3),"",VLOOKUP(VLOOKUP($A128,Centrum!$D$3:$M$130,10,0),Centrum!$A$3:$CB$130,AK$132,0))</f>
        <v/>
      </c>
      <c r="AL128" s="333" t="str">
        <f>IF(OR($A128="",TYPE(VLOOKUP($A128,Centrum!$D$3:$M$130,10,0))&gt;3),"",VLOOKUP(VLOOKUP($A128,Centrum!$D$3:$M$130,10,0),Centrum!$A$3:$CB$130,AL$132,0))</f>
        <v/>
      </c>
      <c r="AM128" s="333" t="str">
        <f>IF(OR($A128="",TYPE(VLOOKUP($A128,Centrum!$D$3:$M$130,10,0))&gt;3),"",VLOOKUP(VLOOKUP($A128,Centrum!$D$3:$M$130,10,0),Centrum!$A$3:$CB$130,AM$132,0))</f>
        <v/>
      </c>
      <c r="AT128" s="333" t="str">
        <f>IF(OR(OR($A128="",TYPE(VLOOKUP($A128,Centrum!$D$3:$M$130,10,0))&gt;3),$A$1&lt;4),"",VLOOKUP(VLOOKUP($A128,Centrum!$D$3:$M$130,10,0),Centrum!$A$3:$CB$130,AT$132,0))</f>
        <v/>
      </c>
      <c r="AU128" s="333" t="str">
        <f>IF(OR(OR($A128="",TYPE(VLOOKUP($A128,Centrum!$D$3:$M$130,10,0))&gt;3),$A$1&lt;4),"",VLOOKUP(VLOOKUP($A128,Centrum!$D$3:$M$130,10,0),Centrum!$A$3:$CB$130,AU$132,0))</f>
        <v/>
      </c>
      <c r="AV128" s="333" t="str">
        <f>IF(OR(OR($A128="",TYPE(VLOOKUP($A128,Centrum!$D$3:$M$130,10,0))&gt;3),$A$1&lt;4),"",VLOOKUP(VLOOKUP($A128,Centrum!$D$3:$M$130,10,0),Centrum!$A$3:$CB$130,AV$132,0))</f>
        <v/>
      </c>
      <c r="BC128" s="333" t="str">
        <f>IF(OR(OR($A128="",TYPE(VLOOKUP($A128,Centrum!$D$3:$M$130,10,0))&gt;3),$A$1&lt;5),"",VLOOKUP(VLOOKUP($A128,Centrum!$D$3:$M$130,10,0),Centrum!$A$3:$CB$130,BC$132,0))</f>
        <v/>
      </c>
      <c r="BD128" s="333" t="str">
        <f>IF(OR(OR($A128="",TYPE(VLOOKUP($A128,Centrum!$D$3:$M$130,10,0))&gt;3),$A$1&lt;5),"",VLOOKUP(VLOOKUP($A128,Centrum!$D$3:$M$130,10,0),Centrum!$A$3:$CB$130,BD$132,0))</f>
        <v/>
      </c>
      <c r="BE128" s="333" t="str">
        <f>IF(OR(OR($A128="",TYPE(VLOOKUP($A128,Centrum!$D$3:$M$130,10,0))&gt;3),$A$1&lt;5),"",VLOOKUP(VLOOKUP($A128,Centrum!$D$3:$M$130,10,0),Centrum!$A$3:$CB$130,BE$132,0))</f>
        <v/>
      </c>
      <c r="BL128" s="333" t="str">
        <f>IF(OR(OR($A128="",TYPE(VLOOKUP($A128,Centrum!$D$3:$M$130,10,0))&gt;3),$A$1&lt;6),"",VLOOKUP(VLOOKUP($A128,Centrum!$D$3:$M$130,10,0),Centrum!$A$3:$CB$130,BL$132,0))</f>
        <v/>
      </c>
      <c r="BM128" s="333" t="str">
        <f>IF(OR(OR($A128="",TYPE(VLOOKUP($A128,Centrum!$D$3:$M$130,10,0))&gt;3),$A$1&lt;6),"",VLOOKUP(VLOOKUP($A128,Centrum!$D$3:$M$130,10,0),Centrum!$A$3:$CB$130,BM$132,0))</f>
        <v/>
      </c>
      <c r="BN128" s="333" t="str">
        <f>IF(OR(OR($A128="",TYPE(VLOOKUP($A128,Centrum!$D$3:$M$130,10,0))&gt;3),$A$1&lt;6),"",VLOOKUP(VLOOKUP($A128,Centrum!$D$3:$M$130,10,0),Centrum!$A$3:$CB$130,BN$132,0))</f>
        <v/>
      </c>
    </row>
    <row r="129" spans="1:66" x14ac:dyDescent="0.25">
      <c r="A129" s="333" t="str">
        <f>Centrum!A129</f>
        <v/>
      </c>
      <c r="B129" s="439" t="str">
        <f>IF(OR($A129="",TYPE(VLOOKUP($A129,Centrum!$D$3:$M$130,10,0))&gt;3),"",VLOOKUP(VLOOKUP(A129,Centrum!$D$3:$M$130,10,0),Centrum!$A$3:$CB$130,B$132,0))</f>
        <v/>
      </c>
      <c r="C129" s="333" t="str">
        <f>IF(OR($A129="",TYPE(VLOOKUP($A129,Centrum!$D$3:$M$130,10,0))&gt;3),"",VLOOKUP($A129,Centrum!$D$3:$M$130,10,0))</f>
        <v/>
      </c>
      <c r="E129" s="333" t="str">
        <f>IF(OR($A129="",TYPE(VLOOKUP($A129,Centrum!$D$3:$M$130,10,0))&gt;3),"",VLOOKUP(VLOOKUP($A129,Centrum!$D$3:$M$130,10,0),Centrum!$A$3:$CB$130,E$132,0))</f>
        <v/>
      </c>
      <c r="F129" s="333" t="str">
        <f>IF(OR($A129="",TYPE(VLOOKUP($A129,Centrum!$D$3:$M$130,10,0))&gt;3),"",VLOOKUP(VLOOKUP($A129,Centrum!$D$3:$M$130,10,0),Centrum!$A$3:$CB$130,F$132,0))</f>
        <v/>
      </c>
      <c r="G129" s="333" t="str">
        <f>IF(OR($A129="",TYPE(VLOOKUP($A129,Centrum!$D$3:$M$130,10,0))&gt;3),"",VLOOKUP(VLOOKUP($A129,Centrum!$D$3:$M$130,10,0),Centrum!$A$3:$CB$130,G$132,0))</f>
        <v/>
      </c>
      <c r="H129" s="333" t="str">
        <f>IF($A129="","",VLOOKUP(VLOOKUP($A129,Centrum!$D$3:$M$130,10,0),Centrum!$A$3:$CB$130,H$132,0))</f>
        <v/>
      </c>
      <c r="I129" s="333" t="str">
        <f>IF($A129="","",VLOOKUP(VLOOKUP($A129,Centrum!$D$3:$M$130,10,0),Centrum!$A$3:$CB$130,I$132,0))</f>
        <v/>
      </c>
      <c r="J129" s="333" t="str">
        <f>IF(OR($A129="",TYPE(VLOOKUP($A129,Centrum!$D$3:$M$130,10,0))&gt;3),"",VLOOKUP(VLOOKUP($A129,Centrum!$D$3:$M$130,10,0),Centrum!$A$3:$CB$130,J$132,0))</f>
        <v/>
      </c>
      <c r="L129" s="333" t="str">
        <f>IF(OR($A129="",TYPE(VLOOKUP($A129,Centrum!$D$3:$M$130,10,0))&gt;3),"",VLOOKUP(VLOOKUP($A129,Centrum!$D$3:$M$130,10,0),Centrum!$A$3:$CB$130,L$132,0))</f>
        <v/>
      </c>
      <c r="M129" s="333" t="str">
        <f>IF(OR($A129="",TYPE(VLOOKUP($A129,Centrum!$D$3:$M$130,10,0))&gt;3),"",VLOOKUP(VLOOKUP($A129,Centrum!$D$3:$M$130,10,0),Centrum!$A$3:$CB$130,M$132,0))</f>
        <v/>
      </c>
      <c r="N129" s="333" t="str">
        <f>IF(OR($A129="",TYPE(VLOOKUP($A129,Centrum!$D$3:$M$130,10,0))&gt;3),"",VLOOKUP(VLOOKUP($A129,Centrum!$D$3:$M$130,10,0),Centrum!$A$3:$CB$130,N$132,0))</f>
        <v/>
      </c>
      <c r="O129" s="333" t="str">
        <f>IF(OR($A129="",TYPE(VLOOKUP($A129,Centrum!$D$3:$M$130,10,0))&gt;3),"",VLOOKUP(VLOOKUP($A129,Centrum!$D$3:$M$130,10,0),Centrum!$A$3:$CB$130,O$132,0))</f>
        <v/>
      </c>
      <c r="P129" s="333" t="str">
        <f>IF(OR($A129="",TYPE(VLOOKUP($A129,Centrum!$D$3:$M$130,10,0))&gt;3),"",VLOOKUP(VLOOKUP($A129,Centrum!$D$3:$M$130,10,0),Centrum!$A$3:$CB$130,P$132,0))</f>
        <v/>
      </c>
      <c r="Q129" s="333" t="str">
        <f>IF(OR($A129="",TYPE(VLOOKUP($A129,Centrum!$D$3:$M$130,10,0))&gt;3),"",VLOOKUP(VLOOKUP($A129,Centrum!$D$3:$M$130,10,0),Centrum!$A$3:$CB$130,Q$132,0))</f>
        <v/>
      </c>
      <c r="S129" s="333" t="str">
        <f>IF(OR($A129="",TYPE(VLOOKUP($A129,Centrum!$D$3:$M$130,10,0))&gt;3),"",VLOOKUP(VLOOKUP($A129,Centrum!$D$3:$M$130,10,0),Centrum!$A$3:$CB$130,S$132,0))</f>
        <v/>
      </c>
      <c r="T129" s="333" t="str">
        <f>IF(OR($A129="",TYPE(VLOOKUP($A129,Centrum!$D$3:$M$130,10,0))&gt;3),"",VLOOKUP(VLOOKUP($A129,Centrum!$D$3:$M$130,10,0),Centrum!$A$3:$CB$130,T$132,0))</f>
        <v/>
      </c>
      <c r="U129" s="333" t="str">
        <f>IF(OR($A129="",TYPE(VLOOKUP($A129,Centrum!$D$3:$M$130,10,0))&gt;3),"",VLOOKUP(VLOOKUP($A129,Centrum!$D$3:$M$130,10,0),Centrum!$A$3:$CB$130,U$132,0))</f>
        <v/>
      </c>
      <c r="AB129" s="333" t="str">
        <f>IF(OR($A129="",TYPE(VLOOKUP($A129,Centrum!$D$3:$M$130,10,0))&gt;3),"",VLOOKUP(VLOOKUP($A129,Centrum!$D$3:$M$130,10,0),Centrum!$A$3:$CB$130,AB$132,0))</f>
        <v/>
      </c>
      <c r="AC129" s="333" t="str">
        <f>IF(OR($A129="",TYPE(VLOOKUP($A129,Centrum!$D$3:$M$130,10,0))&gt;3),"",VLOOKUP(VLOOKUP($A129,Centrum!$D$3:$M$130,10,0),Centrum!$A$3:$CB$130,AC$132,0))</f>
        <v/>
      </c>
      <c r="AD129" s="333" t="str">
        <f>IF(OR($A129="",TYPE(VLOOKUP($A129,Centrum!$D$3:$M$130,10,0))&gt;3),"",VLOOKUP(VLOOKUP($A129,Centrum!$D$3:$M$130,10,0),Centrum!$A$3:$CB$130,AD$132,0))</f>
        <v/>
      </c>
      <c r="AK129" s="333" t="str">
        <f>IF(OR($A129="",TYPE(VLOOKUP($A129,Centrum!$D$3:$M$130,10,0))&gt;3),"",VLOOKUP(VLOOKUP($A129,Centrum!$D$3:$M$130,10,0),Centrum!$A$3:$CB$130,AK$132,0))</f>
        <v/>
      </c>
      <c r="AL129" s="333" t="str">
        <f>IF(OR($A129="",TYPE(VLOOKUP($A129,Centrum!$D$3:$M$130,10,0))&gt;3),"",VLOOKUP(VLOOKUP($A129,Centrum!$D$3:$M$130,10,0),Centrum!$A$3:$CB$130,AL$132,0))</f>
        <v/>
      </c>
      <c r="AM129" s="333" t="str">
        <f>IF(OR($A129="",TYPE(VLOOKUP($A129,Centrum!$D$3:$M$130,10,0))&gt;3),"",VLOOKUP(VLOOKUP($A129,Centrum!$D$3:$M$130,10,0),Centrum!$A$3:$CB$130,AM$132,0))</f>
        <v/>
      </c>
      <c r="AT129" s="333" t="str">
        <f>IF(OR(OR($A129="",TYPE(VLOOKUP($A129,Centrum!$D$3:$M$130,10,0))&gt;3),$A$1&lt;4),"",VLOOKUP(VLOOKUP($A129,Centrum!$D$3:$M$130,10,0),Centrum!$A$3:$CB$130,AT$132,0))</f>
        <v/>
      </c>
      <c r="AU129" s="333" t="str">
        <f>IF(OR(OR($A129="",TYPE(VLOOKUP($A129,Centrum!$D$3:$M$130,10,0))&gt;3),$A$1&lt;4),"",VLOOKUP(VLOOKUP($A129,Centrum!$D$3:$M$130,10,0),Centrum!$A$3:$CB$130,AU$132,0))</f>
        <v/>
      </c>
      <c r="AV129" s="333" t="str">
        <f>IF(OR(OR($A129="",TYPE(VLOOKUP($A129,Centrum!$D$3:$M$130,10,0))&gt;3),$A$1&lt;4),"",VLOOKUP(VLOOKUP($A129,Centrum!$D$3:$M$130,10,0),Centrum!$A$3:$CB$130,AV$132,0))</f>
        <v/>
      </c>
      <c r="BC129" s="333" t="str">
        <f>IF(OR(OR($A129="",TYPE(VLOOKUP($A129,Centrum!$D$3:$M$130,10,0))&gt;3),$A$1&lt;5),"",VLOOKUP(VLOOKUP($A129,Centrum!$D$3:$M$130,10,0),Centrum!$A$3:$CB$130,BC$132,0))</f>
        <v/>
      </c>
      <c r="BD129" s="333" t="str">
        <f>IF(OR(OR($A129="",TYPE(VLOOKUP($A129,Centrum!$D$3:$M$130,10,0))&gt;3),$A$1&lt;5),"",VLOOKUP(VLOOKUP($A129,Centrum!$D$3:$M$130,10,0),Centrum!$A$3:$CB$130,BD$132,0))</f>
        <v/>
      </c>
      <c r="BE129" s="333" t="str">
        <f>IF(OR(OR($A129="",TYPE(VLOOKUP($A129,Centrum!$D$3:$M$130,10,0))&gt;3),$A$1&lt;5),"",VLOOKUP(VLOOKUP($A129,Centrum!$D$3:$M$130,10,0),Centrum!$A$3:$CB$130,BE$132,0))</f>
        <v/>
      </c>
      <c r="BL129" s="333" t="str">
        <f>IF(OR(OR($A129="",TYPE(VLOOKUP($A129,Centrum!$D$3:$M$130,10,0))&gt;3),$A$1&lt;6),"",VLOOKUP(VLOOKUP($A129,Centrum!$D$3:$M$130,10,0),Centrum!$A$3:$CB$130,BL$132,0))</f>
        <v/>
      </c>
      <c r="BM129" s="333" t="str">
        <f>IF(OR(OR($A129="",TYPE(VLOOKUP($A129,Centrum!$D$3:$M$130,10,0))&gt;3),$A$1&lt;6),"",VLOOKUP(VLOOKUP($A129,Centrum!$D$3:$M$130,10,0),Centrum!$A$3:$CB$130,BM$132,0))</f>
        <v/>
      </c>
      <c r="BN129" s="333" t="str">
        <f>IF(OR(OR($A129="",TYPE(VLOOKUP($A129,Centrum!$D$3:$M$130,10,0))&gt;3),$A$1&lt;6),"",VLOOKUP(VLOOKUP($A129,Centrum!$D$3:$M$130,10,0),Centrum!$A$3:$CB$130,BN$132,0))</f>
        <v/>
      </c>
    </row>
    <row r="130" spans="1:66" x14ac:dyDescent="0.25">
      <c r="A130" s="333" t="str">
        <f>Centrum!A130</f>
        <v/>
      </c>
      <c r="B130" s="439" t="str">
        <f>IF(OR($A130="",TYPE(VLOOKUP($A130,Centrum!$D$3:$M$130,10,0))&gt;3),"",VLOOKUP(VLOOKUP(A130,Centrum!$D$3:$M$130,10,0),Centrum!$A$3:$CB$130,B$132,0))</f>
        <v/>
      </c>
      <c r="C130" s="333" t="str">
        <f>IF(OR($A130="",TYPE(VLOOKUP($A130,Centrum!$D$3:$M$130,10,0))&gt;3),"",VLOOKUP($A130,Centrum!$D$3:$M$130,10,0))</f>
        <v/>
      </c>
      <c r="E130" s="333" t="str">
        <f>IF(OR($A130="",TYPE(VLOOKUP($A130,Centrum!$D$3:$M$130,10,0))&gt;3),"",VLOOKUP(VLOOKUP($A130,Centrum!$D$3:$M$130,10,0),Centrum!$A$3:$CB$130,E$132,0))</f>
        <v/>
      </c>
      <c r="F130" s="333" t="str">
        <f>IF(OR($A130="",TYPE(VLOOKUP($A130,Centrum!$D$3:$M$130,10,0))&gt;3),"",VLOOKUP(VLOOKUP($A130,Centrum!$D$3:$M$130,10,0),Centrum!$A$3:$CB$130,F$132,0))</f>
        <v/>
      </c>
      <c r="G130" s="333" t="str">
        <f>IF(OR($A130="",TYPE(VLOOKUP($A130,Centrum!$D$3:$M$130,10,0))&gt;3),"",VLOOKUP(VLOOKUP($A130,Centrum!$D$3:$M$130,10,0),Centrum!$A$3:$CB$130,G$132,0))</f>
        <v/>
      </c>
      <c r="H130" s="333" t="str">
        <f>IF($A130="","",VLOOKUP(VLOOKUP($A130,Centrum!$D$3:$M$130,10,0),Centrum!$A$3:$CB$130,H$132,0))</f>
        <v/>
      </c>
      <c r="I130" s="333" t="str">
        <f>IF($A130="","",VLOOKUP(VLOOKUP($A130,Centrum!$D$3:$M$130,10,0),Centrum!$A$3:$CB$130,I$132,0))</f>
        <v/>
      </c>
      <c r="J130" s="333" t="str">
        <f>IF(OR($A130="",TYPE(VLOOKUP($A130,Centrum!$D$3:$M$130,10,0))&gt;3),"",VLOOKUP(VLOOKUP($A130,Centrum!$D$3:$M$130,10,0),Centrum!$A$3:$CB$130,J$132,0))</f>
        <v/>
      </c>
      <c r="L130" s="333" t="str">
        <f>IF(OR($A130="",TYPE(VLOOKUP($A130,Centrum!$D$3:$M$130,10,0))&gt;3),"",VLOOKUP(VLOOKUP($A130,Centrum!$D$3:$M$130,10,0),Centrum!$A$3:$CB$130,L$132,0))</f>
        <v/>
      </c>
      <c r="M130" s="333" t="str">
        <f>IF(OR($A130="",TYPE(VLOOKUP($A130,Centrum!$D$3:$M$130,10,0))&gt;3),"",VLOOKUP(VLOOKUP($A130,Centrum!$D$3:$M$130,10,0),Centrum!$A$3:$CB$130,M$132,0))</f>
        <v/>
      </c>
      <c r="N130" s="333" t="str">
        <f>IF(OR($A130="",TYPE(VLOOKUP($A130,Centrum!$D$3:$M$130,10,0))&gt;3),"",VLOOKUP(VLOOKUP($A130,Centrum!$D$3:$M$130,10,0),Centrum!$A$3:$CB$130,N$132,0))</f>
        <v/>
      </c>
      <c r="O130" s="333" t="str">
        <f>IF(OR($A130="",TYPE(VLOOKUP($A130,Centrum!$D$3:$M$130,10,0))&gt;3),"",VLOOKUP(VLOOKUP($A130,Centrum!$D$3:$M$130,10,0),Centrum!$A$3:$CB$130,O$132,0))</f>
        <v/>
      </c>
      <c r="P130" s="333" t="str">
        <f>IF(OR($A130="",TYPE(VLOOKUP($A130,Centrum!$D$3:$M$130,10,0))&gt;3),"",VLOOKUP(VLOOKUP($A130,Centrum!$D$3:$M$130,10,0),Centrum!$A$3:$CB$130,P$132,0))</f>
        <v/>
      </c>
      <c r="Q130" s="333" t="str">
        <f>IF(OR($A130="",TYPE(VLOOKUP($A130,Centrum!$D$3:$M$130,10,0))&gt;3),"",VLOOKUP(VLOOKUP($A130,Centrum!$D$3:$M$130,10,0),Centrum!$A$3:$CB$130,Q$132,0))</f>
        <v/>
      </c>
      <c r="S130" s="333" t="str">
        <f>IF(OR($A130="",TYPE(VLOOKUP($A130,Centrum!$D$3:$M$130,10,0))&gt;3),"",VLOOKUP(VLOOKUP($A130,Centrum!$D$3:$M$130,10,0),Centrum!$A$3:$CB$130,S$132,0))</f>
        <v/>
      </c>
      <c r="T130" s="333" t="str">
        <f>IF(OR($A130="",TYPE(VLOOKUP($A130,Centrum!$D$3:$M$130,10,0))&gt;3),"",VLOOKUP(VLOOKUP($A130,Centrum!$D$3:$M$130,10,0),Centrum!$A$3:$CB$130,T$132,0))</f>
        <v/>
      </c>
      <c r="U130" s="333" t="str">
        <f>IF(OR($A130="",TYPE(VLOOKUP($A130,Centrum!$D$3:$M$130,10,0))&gt;3),"",VLOOKUP(VLOOKUP($A130,Centrum!$D$3:$M$130,10,0),Centrum!$A$3:$CB$130,U$132,0))</f>
        <v/>
      </c>
      <c r="AB130" s="333" t="str">
        <f>IF(OR($A130="",TYPE(VLOOKUP($A130,Centrum!$D$3:$M$130,10,0))&gt;3),"",VLOOKUP(VLOOKUP($A130,Centrum!$D$3:$M$130,10,0),Centrum!$A$3:$CB$130,AB$132,0))</f>
        <v/>
      </c>
      <c r="AC130" s="333" t="str">
        <f>IF(OR($A130="",TYPE(VLOOKUP($A130,Centrum!$D$3:$M$130,10,0))&gt;3),"",VLOOKUP(VLOOKUP($A130,Centrum!$D$3:$M$130,10,0),Centrum!$A$3:$CB$130,AC$132,0))</f>
        <v/>
      </c>
      <c r="AD130" s="333" t="str">
        <f>IF(OR($A130="",TYPE(VLOOKUP($A130,Centrum!$D$3:$M$130,10,0))&gt;3),"",VLOOKUP(VLOOKUP($A130,Centrum!$D$3:$M$130,10,0),Centrum!$A$3:$CB$130,AD$132,0))</f>
        <v/>
      </c>
      <c r="AK130" s="333" t="str">
        <f>IF(OR($A130="",TYPE(VLOOKUP($A130,Centrum!$D$3:$M$130,10,0))&gt;3),"",VLOOKUP(VLOOKUP($A130,Centrum!$D$3:$M$130,10,0),Centrum!$A$3:$CB$130,AK$132,0))</f>
        <v/>
      </c>
      <c r="AL130" s="333" t="str">
        <f>IF(OR($A130="",TYPE(VLOOKUP($A130,Centrum!$D$3:$M$130,10,0))&gt;3),"",VLOOKUP(VLOOKUP($A130,Centrum!$D$3:$M$130,10,0),Centrum!$A$3:$CB$130,AL$132,0))</f>
        <v/>
      </c>
      <c r="AM130" s="333" t="str">
        <f>IF(OR($A130="",TYPE(VLOOKUP($A130,Centrum!$D$3:$M$130,10,0))&gt;3),"",VLOOKUP(VLOOKUP($A130,Centrum!$D$3:$M$130,10,0),Centrum!$A$3:$CB$130,AM$132,0))</f>
        <v/>
      </c>
      <c r="AT130" s="333" t="str">
        <f>IF(OR(OR($A130="",TYPE(VLOOKUP($A130,Centrum!$D$3:$M$130,10,0))&gt;3),$A$1&lt;4),"",VLOOKUP(VLOOKUP($A130,Centrum!$D$3:$M$130,10,0),Centrum!$A$3:$CB$130,AT$132,0))</f>
        <v/>
      </c>
      <c r="AU130" s="333" t="str">
        <f>IF(OR(OR($A130="",TYPE(VLOOKUP($A130,Centrum!$D$3:$M$130,10,0))&gt;3),$A$1&lt;4),"",VLOOKUP(VLOOKUP($A130,Centrum!$D$3:$M$130,10,0),Centrum!$A$3:$CB$130,AU$132,0))</f>
        <v/>
      </c>
      <c r="AV130" s="333" t="str">
        <f>IF(OR(OR($A130="",TYPE(VLOOKUP($A130,Centrum!$D$3:$M$130,10,0))&gt;3),$A$1&lt;4),"",VLOOKUP(VLOOKUP($A130,Centrum!$D$3:$M$130,10,0),Centrum!$A$3:$CB$130,AV$132,0))</f>
        <v/>
      </c>
      <c r="BC130" s="333" t="str">
        <f>IF(OR(OR($A130="",TYPE(VLOOKUP($A130,Centrum!$D$3:$M$130,10,0))&gt;3),$A$1&lt;5),"",VLOOKUP(VLOOKUP($A130,Centrum!$D$3:$M$130,10,0),Centrum!$A$3:$CB$130,BC$132,0))</f>
        <v/>
      </c>
      <c r="BD130" s="333" t="str">
        <f>IF(OR(OR($A130="",TYPE(VLOOKUP($A130,Centrum!$D$3:$M$130,10,0))&gt;3),$A$1&lt;5),"",VLOOKUP(VLOOKUP($A130,Centrum!$D$3:$M$130,10,0),Centrum!$A$3:$CB$130,BD$132,0))</f>
        <v/>
      </c>
      <c r="BE130" s="333" t="str">
        <f>IF(OR(OR($A130="",TYPE(VLOOKUP($A130,Centrum!$D$3:$M$130,10,0))&gt;3),$A$1&lt;5),"",VLOOKUP(VLOOKUP($A130,Centrum!$D$3:$M$130,10,0),Centrum!$A$3:$CB$130,BE$132,0))</f>
        <v/>
      </c>
      <c r="BL130" s="333" t="str">
        <f>IF(OR(OR($A130="",TYPE(VLOOKUP($A130,Centrum!$D$3:$M$130,10,0))&gt;3),$A$1&lt;6),"",VLOOKUP(VLOOKUP($A130,Centrum!$D$3:$M$130,10,0),Centrum!$A$3:$CB$130,BL$132,0))</f>
        <v/>
      </c>
      <c r="BM130" s="333" t="str">
        <f>IF(OR(OR($A130="",TYPE(VLOOKUP($A130,Centrum!$D$3:$M$130,10,0))&gt;3),$A$1&lt;6),"",VLOOKUP(VLOOKUP($A130,Centrum!$D$3:$M$130,10,0),Centrum!$A$3:$CB$130,BM$132,0))</f>
        <v/>
      </c>
      <c r="BN130" s="333" t="str">
        <f>IF(OR(OR($A130="",TYPE(VLOOKUP($A130,Centrum!$D$3:$M$130,10,0))&gt;3),$A$1&lt;6),"",VLOOKUP(VLOOKUP($A130,Centrum!$D$3:$M$130,10,0),Centrum!$A$3:$CB$130,BN$132,0))</f>
        <v/>
      </c>
    </row>
    <row r="132" spans="1:66" x14ac:dyDescent="0.25">
      <c r="B132" s="443">
        <v>3</v>
      </c>
      <c r="E132" s="443">
        <v>15</v>
      </c>
      <c r="F132" s="443">
        <v>17</v>
      </c>
      <c r="G132" s="443">
        <v>19</v>
      </c>
      <c r="H132" s="443">
        <v>18</v>
      </c>
      <c r="I132" s="443">
        <v>20</v>
      </c>
      <c r="J132" s="443">
        <v>16</v>
      </c>
      <c r="L132" s="443">
        <v>26</v>
      </c>
      <c r="M132" s="443">
        <v>27</v>
      </c>
      <c r="N132" s="443">
        <v>28</v>
      </c>
      <c r="O132" s="443">
        <v>29</v>
      </c>
      <c r="P132" s="443">
        <v>30</v>
      </c>
      <c r="Q132" s="443">
        <v>31</v>
      </c>
      <c r="S132" s="443">
        <v>33</v>
      </c>
      <c r="T132" s="443">
        <v>34</v>
      </c>
      <c r="U132" s="443">
        <v>35</v>
      </c>
      <c r="AB132" s="443">
        <v>42</v>
      </c>
      <c r="AC132" s="443">
        <v>43</v>
      </c>
      <c r="AD132" s="443">
        <v>44</v>
      </c>
      <c r="AK132" s="443">
        <v>51</v>
      </c>
      <c r="AL132" s="443">
        <v>52</v>
      </c>
      <c r="AM132" s="443">
        <v>53</v>
      </c>
      <c r="AT132" s="443">
        <v>60</v>
      </c>
      <c r="AU132" s="443">
        <v>61</v>
      </c>
      <c r="AV132" s="443">
        <v>62</v>
      </c>
      <c r="BC132" s="443">
        <v>69</v>
      </c>
      <c r="BD132" s="443">
        <v>70</v>
      </c>
      <c r="BE132" s="443">
        <v>71</v>
      </c>
      <c r="BL132" s="443">
        <v>78</v>
      </c>
      <c r="BM132" s="443">
        <v>79</v>
      </c>
      <c r="BN132" s="443">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scale="27"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33" customWidth="1"/>
    <col min="2" max="2" width="4" style="334" customWidth="1"/>
    <col min="3" max="3" width="47.7109375" style="334" customWidth="1"/>
    <col min="4" max="4" width="7" style="334" customWidth="1"/>
    <col min="5" max="5" width="9.140625" style="334"/>
    <col min="6" max="7" width="10.42578125" style="334" hidden="1" customWidth="1"/>
    <col min="8" max="11" width="9.140625" style="334" hidden="1" customWidth="1"/>
    <col min="12" max="12" width="3.140625" style="334" hidden="1" customWidth="1"/>
    <col min="13" max="13" width="3.5703125" style="334" hidden="1" customWidth="1"/>
    <col min="14" max="14" width="3.140625" style="334" customWidth="1"/>
    <col min="15" max="16" width="5.5703125" style="333" customWidth="1"/>
    <col min="17" max="17" width="6.42578125" style="333" customWidth="1"/>
    <col min="18" max="18" width="6.42578125" style="333" hidden="1" customWidth="1"/>
    <col min="19" max="19" width="6.42578125" style="333" customWidth="1"/>
    <col min="20" max="22" width="5.5703125" style="333" hidden="1" customWidth="1"/>
    <col min="23" max="23" width="14.140625" style="334" hidden="1" customWidth="1"/>
    <col min="24" max="24" width="5.5703125" style="334" hidden="1" customWidth="1"/>
    <col min="25" max="25" width="3.85546875" style="333" hidden="1" customWidth="1"/>
    <col min="26" max="31" width="5" style="333" customWidth="1"/>
    <col min="32" max="32" width="3.140625" style="334" customWidth="1"/>
    <col min="33" max="33" width="5.85546875" style="333" customWidth="1"/>
    <col min="34" max="37" width="5.5703125" style="334" customWidth="1"/>
    <col min="38" max="38" width="10.5703125" style="334" customWidth="1"/>
    <col min="39" max="39" width="7.42578125" style="333" customWidth="1"/>
    <col min="40" max="41" width="1.7109375" style="333" customWidth="1"/>
    <col min="42" max="42" width="5.85546875" style="333" customWidth="1"/>
    <col min="43" max="46" width="5.5703125" style="334" customWidth="1"/>
    <col min="47" max="47" width="10.5703125" style="334" customWidth="1"/>
    <col min="48" max="48" width="7.42578125" style="333" customWidth="1"/>
    <col min="49" max="50" width="1.7109375" style="333" customWidth="1"/>
    <col min="51" max="51" width="5.85546875" style="333" customWidth="1"/>
    <col min="52" max="55" width="5.5703125" style="334" customWidth="1"/>
    <col min="56" max="56" width="10.5703125" style="334" customWidth="1"/>
    <col min="57" max="57" width="7.42578125" style="333" customWidth="1"/>
    <col min="58" max="59" width="1.7109375" style="333" customWidth="1"/>
    <col min="60" max="60" width="5.85546875" style="333" customWidth="1"/>
    <col min="61" max="64" width="5.5703125" style="334" customWidth="1"/>
    <col min="65" max="65" width="10.5703125" style="334" customWidth="1"/>
    <col min="66" max="66" width="7.42578125" style="333" customWidth="1"/>
    <col min="67" max="68" width="1.7109375" style="333" customWidth="1"/>
    <col min="69" max="69" width="5.85546875" style="333" customWidth="1"/>
    <col min="70" max="73" width="5.5703125" style="334" customWidth="1"/>
    <col min="74" max="74" width="10.5703125" style="334" customWidth="1"/>
    <col min="75" max="75" width="7.42578125" style="333" customWidth="1"/>
    <col min="76" max="77" width="1.7109375" style="333" customWidth="1"/>
    <col min="78" max="78" width="5.85546875" style="333" customWidth="1"/>
    <col min="79" max="82" width="5.5703125" style="334" customWidth="1"/>
    <col min="83" max="83" width="10.5703125" style="334" customWidth="1"/>
    <col min="84" max="84" width="7.42578125" style="333" customWidth="1"/>
    <col min="85" max="16384" width="9.140625" style="334"/>
  </cols>
  <sheetData>
    <row r="1" spans="1:84" ht="20.25" thickBot="1" x14ac:dyDescent="0.45">
      <c r="B1" s="333"/>
      <c r="C1" s="411" t="str">
        <f>Start.listina!$K$4</f>
        <v>Memoriál CdP Loděnice</v>
      </c>
      <c r="D1" s="412"/>
      <c r="E1" s="413" t="str">
        <f>Start.listina!$K$3</f>
        <v>16.07.2016</v>
      </c>
      <c r="F1" s="485" t="s">
        <v>885</v>
      </c>
      <c r="G1" s="486"/>
      <c r="H1" s="486"/>
      <c r="I1" s="486"/>
      <c r="J1" s="486"/>
      <c r="K1" s="486"/>
      <c r="L1" s="414">
        <f>Start.listina!$Y$2</f>
        <v>4</v>
      </c>
      <c r="M1" s="333"/>
      <c r="O1" s="484" t="s">
        <v>864</v>
      </c>
      <c r="P1" s="484"/>
      <c r="Q1" s="484"/>
      <c r="R1" s="484"/>
      <c r="S1" s="484"/>
      <c r="T1" s="484"/>
      <c r="U1" s="415"/>
      <c r="V1" s="416" t="s">
        <v>879</v>
      </c>
      <c r="W1" s="415"/>
      <c r="X1" s="417"/>
      <c r="Y1" s="415"/>
      <c r="Z1" s="484" t="s">
        <v>1019</v>
      </c>
      <c r="AA1" s="484"/>
      <c r="AB1" s="484"/>
      <c r="AC1" s="484"/>
      <c r="AD1" s="484"/>
      <c r="AE1" s="418">
        <f ca="1">AV1+BE1+BN1+BW1+CF1</f>
        <v>0</v>
      </c>
      <c r="AG1" s="483" t="s">
        <v>861</v>
      </c>
      <c r="AH1" s="483"/>
      <c r="AI1" s="483"/>
      <c r="AJ1" s="483"/>
      <c r="AK1" s="483"/>
      <c r="AL1" s="483"/>
      <c r="AM1" s="418"/>
      <c r="AP1" s="483" t="s">
        <v>871</v>
      </c>
      <c r="AQ1" s="483"/>
      <c r="AR1" s="483"/>
      <c r="AS1" s="483"/>
      <c r="AT1" s="483"/>
      <c r="AU1" s="483"/>
      <c r="AV1" s="418">
        <f ca="1">MAX(AV3:AV130)</f>
        <v>0</v>
      </c>
      <c r="AY1" s="483" t="s">
        <v>882</v>
      </c>
      <c r="AZ1" s="483"/>
      <c r="BA1" s="483"/>
      <c r="BB1" s="483"/>
      <c r="BC1" s="483"/>
      <c r="BD1" s="483"/>
      <c r="BE1" s="418">
        <f ca="1">MAX(BE3:BE130)</f>
        <v>0</v>
      </c>
      <c r="BH1" s="483" t="s">
        <v>883</v>
      </c>
      <c r="BI1" s="483"/>
      <c r="BJ1" s="483"/>
      <c r="BK1" s="483"/>
      <c r="BL1" s="483"/>
      <c r="BM1" s="483"/>
      <c r="BN1" s="418">
        <f ca="1">MAX(BN3:BN130)</f>
        <v>0</v>
      </c>
      <c r="BQ1" s="483" t="s">
        <v>884</v>
      </c>
      <c r="BR1" s="483"/>
      <c r="BS1" s="483"/>
      <c r="BT1" s="483"/>
      <c r="BU1" s="483"/>
      <c r="BV1" s="483"/>
      <c r="BW1" s="418">
        <f ca="1">MAX(BW3:BW130)</f>
        <v>0</v>
      </c>
      <c r="BZ1" s="483" t="s">
        <v>881</v>
      </c>
      <c r="CA1" s="483"/>
      <c r="CB1" s="483"/>
      <c r="CC1" s="483"/>
      <c r="CD1" s="483"/>
      <c r="CE1" s="483"/>
      <c r="CF1" s="418">
        <f ca="1">MAX(CF3:CF130)</f>
        <v>0</v>
      </c>
    </row>
    <row r="2" spans="1:84" ht="42.6" customHeight="1" thickTop="1" thickBot="1" x14ac:dyDescent="0.3">
      <c r="A2" s="419" t="s">
        <v>1044</v>
      </c>
      <c r="B2" s="419" t="s">
        <v>856</v>
      </c>
      <c r="C2" s="420" t="s">
        <v>1042</v>
      </c>
      <c r="D2" s="421" t="s">
        <v>880</v>
      </c>
      <c r="E2" s="422" t="s">
        <v>731</v>
      </c>
      <c r="F2" s="423" t="s">
        <v>1068</v>
      </c>
      <c r="G2" s="423">
        <v>64</v>
      </c>
      <c r="H2" s="423">
        <v>32</v>
      </c>
      <c r="I2" s="423">
        <v>16</v>
      </c>
      <c r="J2" s="423">
        <v>8</v>
      </c>
      <c r="K2" s="423">
        <v>4</v>
      </c>
      <c r="O2" s="424" t="s">
        <v>860</v>
      </c>
      <c r="P2" s="425" t="s">
        <v>859</v>
      </c>
      <c r="Q2" s="425" t="s">
        <v>870</v>
      </c>
      <c r="R2" s="425" t="s">
        <v>869</v>
      </c>
      <c r="S2" s="425" t="s">
        <v>650</v>
      </c>
      <c r="T2" s="426" t="s">
        <v>867</v>
      </c>
      <c r="U2" s="427" t="s">
        <v>880</v>
      </c>
      <c r="V2" s="428" t="s">
        <v>890</v>
      </c>
      <c r="W2" s="429" t="s">
        <v>873</v>
      </c>
      <c r="X2" s="430" t="s">
        <v>880</v>
      </c>
      <c r="Y2" s="431"/>
      <c r="Z2" s="432" t="s">
        <v>981</v>
      </c>
      <c r="AA2" s="433" t="s">
        <v>982</v>
      </c>
      <c r="AB2" s="433" t="s">
        <v>983</v>
      </c>
      <c r="AC2" s="433" t="s">
        <v>984</v>
      </c>
      <c r="AD2" s="433" t="s">
        <v>985</v>
      </c>
      <c r="AE2" s="434" t="s">
        <v>986</v>
      </c>
      <c r="AG2" s="435" t="s">
        <v>865</v>
      </c>
      <c r="AH2" s="435" t="s">
        <v>866</v>
      </c>
      <c r="AI2" s="436" t="s">
        <v>859</v>
      </c>
      <c r="AJ2" s="436" t="s">
        <v>867</v>
      </c>
      <c r="AK2" s="436" t="s">
        <v>890</v>
      </c>
      <c r="AL2" s="436" t="s">
        <v>873</v>
      </c>
      <c r="AM2" s="437" t="s">
        <v>1043</v>
      </c>
      <c r="AN2" s="334"/>
      <c r="AO2" s="334"/>
      <c r="AP2" s="435" t="s">
        <v>865</v>
      </c>
      <c r="AQ2" s="435" t="s">
        <v>866</v>
      </c>
      <c r="AR2" s="436" t="s">
        <v>859</v>
      </c>
      <c r="AS2" s="436" t="s">
        <v>867</v>
      </c>
      <c r="AT2" s="436" t="s">
        <v>890</v>
      </c>
      <c r="AU2" s="436" t="s">
        <v>873</v>
      </c>
      <c r="AV2" s="438" t="s">
        <v>1043</v>
      </c>
      <c r="AW2" s="334"/>
      <c r="AX2" s="334"/>
      <c r="AY2" s="435" t="s">
        <v>865</v>
      </c>
      <c r="AZ2" s="435" t="s">
        <v>866</v>
      </c>
      <c r="BA2" s="436" t="s">
        <v>859</v>
      </c>
      <c r="BB2" s="436" t="s">
        <v>867</v>
      </c>
      <c r="BC2" s="436" t="s">
        <v>890</v>
      </c>
      <c r="BD2" s="436" t="s">
        <v>873</v>
      </c>
      <c r="BE2" s="438" t="s">
        <v>1043</v>
      </c>
      <c r="BF2" s="334"/>
      <c r="BG2" s="334"/>
      <c r="BH2" s="435" t="s">
        <v>865</v>
      </c>
      <c r="BI2" s="435" t="s">
        <v>866</v>
      </c>
      <c r="BJ2" s="436" t="s">
        <v>859</v>
      </c>
      <c r="BK2" s="436" t="s">
        <v>867</v>
      </c>
      <c r="BL2" s="436" t="s">
        <v>890</v>
      </c>
      <c r="BM2" s="436" t="s">
        <v>873</v>
      </c>
      <c r="BN2" s="438" t="s">
        <v>1043</v>
      </c>
      <c r="BO2" s="334"/>
      <c r="BP2" s="334"/>
      <c r="BQ2" s="435" t="s">
        <v>865</v>
      </c>
      <c r="BR2" s="435" t="s">
        <v>866</v>
      </c>
      <c r="BS2" s="436" t="s">
        <v>859</v>
      </c>
      <c r="BT2" s="436" t="s">
        <v>867</v>
      </c>
      <c r="BU2" s="436" t="s">
        <v>890</v>
      </c>
      <c r="BV2" s="436" t="s">
        <v>873</v>
      </c>
      <c r="BW2" s="438" t="s">
        <v>1043</v>
      </c>
      <c r="BX2" s="334"/>
      <c r="BY2" s="334"/>
      <c r="BZ2" s="435" t="s">
        <v>865</v>
      </c>
      <c r="CA2" s="435" t="s">
        <v>866</v>
      </c>
      <c r="CB2" s="436" t="s">
        <v>859</v>
      </c>
      <c r="CC2" s="436" t="s">
        <v>867</v>
      </c>
      <c r="CD2" s="436" t="s">
        <v>890</v>
      </c>
      <c r="CE2" s="436" t="s">
        <v>873</v>
      </c>
      <c r="CF2" s="438" t="s">
        <v>1043</v>
      </c>
    </row>
    <row r="3" spans="1:84" ht="13.5" thickTop="1" x14ac:dyDescent="0.25">
      <c r="A3" s="333">
        <f>IF(OR(Start.listina!H11&gt;Start.listina!$K$7,Start.listina!G11=TRUE),"",Start.listina!H11)</f>
        <v>1</v>
      </c>
      <c r="B3" s="333">
        <f>IF($A3&gt;Start.listina!$K$7,"",INT(($A3-1)/Start.listina!$O$7)+1)</f>
        <v>1</v>
      </c>
      <c r="C3" s="439" t="str">
        <f>IF(OR(Start.listina!H11&gt;Start.listina!$K$7,Start.listina!G11=TRUE)," - ",Start.listina!AL11)</f>
        <v>1 PC Sokol Lipník - Morávek Petr</v>
      </c>
      <c r="D3" s="333">
        <f>IF(OR(A3&gt;Start.listina!$K$7,TYPE(VLOOKUP(A3,$V$3:$X$130,3,0))&gt;3),"",VLOOKUP(A3,$V$3:$X$130,3,0))</f>
        <v>11</v>
      </c>
      <c r="E3" s="440">
        <f ca="1">IF(A3&gt;Start.listina!$K$7,"",IF(MIN(F3:K3)&gt;Start.listina!$Y$4,D3,MIN(F3:K3)))</f>
        <v>11</v>
      </c>
      <c r="F3" s="333">
        <f ca="1">IF(TYPE(VLOOKUP(C3,Konečné_pořadí_1_16!$B$2:$D$17,3,0))&lt;4,VLOOKUP(C3,Konečné_pořadí_1_16!$B$2:$D$17,3,0),999)</f>
        <v>11</v>
      </c>
      <c r="G3" s="333">
        <f ca="1">IF(TYPE(VLOOKUP(C3,'KO64'!$D$4:$D$129,1,0))&lt;4,64,999)</f>
        <v>64</v>
      </c>
      <c r="H3" s="333">
        <f ca="1">IF(TYPE(VLOOKUP(C3,'KO32'!$D$4:$D$65,1,0))&lt;4,32,999)</f>
        <v>32</v>
      </c>
      <c r="I3" s="333">
        <f ca="1">IF(TYPE(VLOOKUP(C3,'KO16'!$D$4:$D$33,1,0))&lt;4,16,999)</f>
        <v>16</v>
      </c>
      <c r="J3" s="333">
        <f ca="1">IF(TYPE(VLOOKUP(C3,'KO8'!$D$4:$D$17,1,0))&lt;4,8,999)</f>
        <v>999</v>
      </c>
      <c r="K3" s="333">
        <f ca="1">IF(TYPE(VLOOKUP(C3,'KO4'!$D$4:$D$9,1,0))&lt;4,4,999)</f>
        <v>999</v>
      </c>
      <c r="M3" s="334">
        <v>1</v>
      </c>
      <c r="O3" s="333">
        <f ca="1">AH3+AQ3+AZ3+BI3+BR3+CA3</f>
        <v>3</v>
      </c>
      <c r="P3" s="333">
        <f ca="1">AI3+AR3+BA3+BJ3+BS3+CB3</f>
        <v>6</v>
      </c>
      <c r="Q3" s="333">
        <f t="shared" ref="Q3:Q34" ca="1" si="0">VLOOKUP($Z3,$A$3:$O$131,15,0)+VLOOKUP($AA3,$A$3:$O$131,15,0)+VLOOKUP($AB3,$A$3:$O$131,15,0)+VLOOKUP($AC3,$A$3:$O$131,15,0)+VLOOKUP($AD3,$A$3:$O$131,15,0)+VLOOKUP($AE3,$A$3:$O$131,15,0)</f>
        <v>8</v>
      </c>
      <c r="R3" s="333">
        <f t="shared" ref="R3:R34" ca="1" si="1">IF(AH3=0,0,VLOOKUP($Z3,$A$3:$O$130,15,0))+IF(AQ3=0,0,VLOOKUP($AA3,$A$3:$O$130,15,0))+IF(AZ3=0,0,VLOOKUP($AB3,$A$3:$O$130,15,0))+IF(BI3=0,0,VLOOKUP($AC3,$A$3:$O$130,15,0))+IF(BR3=0,0,VLOOKUP($AD3,$A$3:$O$130,15,0))+IF(CA3=0,0,VLOOKUP($AE3,$A$3:$O$130,15,0))</f>
        <v>5</v>
      </c>
      <c r="S3" s="333">
        <f ca="1">VLOOKUP($Z3,$A$3:$Q$131,17,0)+VLOOKUP($AA3,$A$3:$Q$131,17,0)+VLOOKUP($AB3,$A$3:$Q$131,17,0)+VLOOKUP($AC3,$A$3:$Q$131,17,0)+VLOOKUP($AD3,$A$3:$Q$131,17,0)+VLOOKUP($AE3,$A$3:$Q$131,17,0)</f>
        <v>37</v>
      </c>
      <c r="T3" s="333">
        <f ca="1">AJ3+AS3+BB3+BK3+BT3+CC3</f>
        <v>3</v>
      </c>
      <c r="U3" s="415">
        <f>ROW()-2</f>
        <v>1</v>
      </c>
      <c r="V3" s="415">
        <v>6</v>
      </c>
      <c r="W3" s="441" t="str">
        <f ca="1">IF($V3="","",CONCATENATE(TEXT($O3,"0"),IF(Start.listina!$Y$5="","",TEXT(500+$P3,"0000")),IF(Start.listina!$Y$6="","",CHOOSE(Start.listina!$Y$7,TEXT($Q3,"00"),CONCATENATE(TEXT($Q3,"00"),TEXT($S3,"000")), TEXT($R3,"00"))),TEXT(500+$P3,"0000"),IF(Start.listina!$Y$8="","",TEXT($T3,"0")),TEXT(999999*RAND(),"000000")))</f>
        <v>3080370506793827</v>
      </c>
      <c r="X3" s="417">
        <f>ROW()-2</f>
        <v>1</v>
      </c>
      <c r="Y3" s="415">
        <f t="shared" ref="Y3:Y34" ca="1" si="2">IF(TYPE(VLOOKUP(V3,$A$3:$O$130,15,0))&gt;3,0,VLOOKUP(V3,$A$3:$O$130,15,0))</f>
        <v>4</v>
      </c>
      <c r="Z3" s="333">
        <f ca="1">$AG3</f>
        <v>26</v>
      </c>
      <c r="AA3" s="333">
        <f ca="1">$AP3</f>
        <v>22</v>
      </c>
      <c r="AB3" s="333">
        <f ca="1">$AY3</f>
        <v>23</v>
      </c>
      <c r="AC3" s="333">
        <f ca="1">$BH3</f>
        <v>4</v>
      </c>
      <c r="AD3" s="333">
        <f ca="1">$BQ3</f>
        <v>0</v>
      </c>
      <c r="AE3" s="333">
        <f ca="1">$BZ3</f>
        <v>0</v>
      </c>
      <c r="AG3" s="333">
        <f ca="1">IF(TYPE(VLOOKUP($A3,'1.kolo'!$L$3:$L$66,1,0))&gt;3,VLOOKUP($A3,'1.kolo'!$K$3:$L$66,2,0),VLOOKUP($A3,'1.kolo'!$L$3:$O$66,4,0))</f>
        <v>26</v>
      </c>
      <c r="AH3" s="333">
        <f ca="1">IF(TYPE(VLOOKUP($A3,'1.kolo'!$L$3:$L$66,1,0))&gt;3,VLOOKUP($A3,'1.kolo'!$O$3:$Q$66,2,0),VLOOKUP($A3,'1.kolo'!$L$3:$N$66,2,0))</f>
        <v>1</v>
      </c>
      <c r="AI3" s="333">
        <f ca="1">IF(TYPE(VLOOKUP($A3,'1.kolo'!$L$3:$L$66,1,0))&gt;3,VLOOKUP($A3,'1.kolo'!$O$3:$Q$66,3,0),VLOOKUP($A3,'1.kolo'!$L$3:$N$66,3,0))</f>
        <v>5</v>
      </c>
      <c r="AJ3" s="333">
        <f ca="1">IF(AND(VLOOKUP($AG3,$A$3:$B$130,2,0)=1,AH3=1),1,0)</f>
        <v>1</v>
      </c>
      <c r="AK3" s="333">
        <v>1</v>
      </c>
      <c r="AL3" s="442"/>
      <c r="AP3" s="333">
        <f ca="1">IF(TYPE(VLOOKUP($A3,'2.kolo'!$L$3:$L$66,1,0))&gt;3,IF(TYPE(VLOOKUP($A3,'2.kolo'!$K$3:$L$66,2,0))&gt;3,0,VLOOKUP($A3,'2.kolo'!$K$3:$L$66,2,0)),VLOOKUP($A3,'2.kolo'!$L$3:$O$66,4,0))</f>
        <v>22</v>
      </c>
      <c r="AQ3" s="333">
        <f ca="1">IF(TYPE(VLOOKUP($A3,'2.kolo'!$L$3:$L$66,1,0))&gt;3,IF(TYPE(VLOOKUP($A3,'2.kolo'!$O$3:$Q$66,2,0))&gt;3,0,VLOOKUP($A3,'2.kolo'!$O$3:$Q$66,2,0)),VLOOKUP($A3,'2.kolo'!$L$3:$N$66,2,0))</f>
        <v>0</v>
      </c>
      <c r="AR3" s="333">
        <f ca="1">IF(TYPE(VLOOKUP($A3,'2.kolo'!$L$3:$L$66,1,0))&gt;3,IF(TYPE(VLOOKUP($A3,'2.kolo'!$O$3:$Q$66,3,0))&gt;3,0,VLOOKUP($A3,'2.kolo'!$O$3:$Q$66,3,0)),VLOOKUP($A3,'2.kolo'!$L$3:$N$66,3,0))</f>
        <v>-10</v>
      </c>
      <c r="AS3" s="333">
        <f ca="1">IF(AND(VLOOKUP($AG3,$A$3:$B$130,2,0)=1,AQ3=1),1,0)</f>
        <v>0</v>
      </c>
      <c r="AT3" s="415">
        <v>7</v>
      </c>
      <c r="AU3" s="442" t="str">
        <f ca="1">IF(AT3="","",CONCATENATE(TEXT($O3,"0"),IF(Start.listina!$Y$5="","",TEXT(500+$P3,"000")),TEXT(999999*RAND(),"000000")))</f>
        <v>3866287</v>
      </c>
      <c r="AV3" s="333">
        <f t="shared" ref="AV3:AV34" ca="1" si="3">IF(OR(AND(N(AP3)=0,N(AT3)=0),TYPE(MATCH($AA3,$Z3:$Z3,0))&gt;1),0,1)</f>
        <v>0</v>
      </c>
      <c r="AY3" s="333">
        <f ca="1">IF(TYPE(VLOOKUP($A3,'3.kolo'!$L$3:$L$66,1,0))&gt;3,IF(TYPE(VLOOKUP($A3,'3.kolo'!$K$3:$L$66,2,0))&gt;3,0,VLOOKUP($A3,'3.kolo'!$K$3:$L$66,2,0)),VLOOKUP($A3,'3.kolo'!$L$3:$O$66,4,0))</f>
        <v>23</v>
      </c>
      <c r="AZ3" s="333">
        <f ca="1">IF(TYPE(VLOOKUP($A3,'3.kolo'!$L$3:$L$66,1,0))&gt;3,IF(TYPE(VLOOKUP($A3,'3.kolo'!$O$3:$Q$66,2,0))&gt;3,0,VLOOKUP($A3,'3.kolo'!$O$3:$Q$66,2,0)),VLOOKUP($A3,'3.kolo'!$L$3:$N$66,2,0))</f>
        <v>1</v>
      </c>
      <c r="BA3" s="333">
        <f ca="1">IF(TYPE(VLOOKUP($A3,'3.kolo'!$L$3:$L$66,1,0))&gt;3,IF(TYPE(VLOOKUP($A3,'3.kolo'!$O$3:$Q$66,3,0))&gt;3,0,VLOOKUP($A3,'3.kolo'!$O$3:$Q$66,3,0)),VLOOKUP($A3,'3.kolo'!$L$3:$N$66,3,0))</f>
        <v>8</v>
      </c>
      <c r="BB3" s="333">
        <f ca="1">IF(AND(VLOOKUP($AG3,$A$3:$B$130,2,0)=1,AZ3=1),1,0)</f>
        <v>1</v>
      </c>
      <c r="BC3" s="415">
        <v>4</v>
      </c>
      <c r="BD3" s="442" t="str">
        <f ca="1">IF(BC3="","",CONCATENATE(TEXT($O3,"0"),IF(Start.listina!$Y$5="","",TEXT(500+$P3,"000")),TEXT(999999*RAND(),"000000")))</f>
        <v>3742706</v>
      </c>
      <c r="BE3" s="333">
        <f t="shared" ref="BE3:BE34" ca="1" si="4">IF(OR(AND(N(AY3)=0,N(BC3)=0),TYPE(MATCH($AB3,$Z3:$AA3,0))&gt;1),0,1)</f>
        <v>0</v>
      </c>
      <c r="BH3" s="333">
        <f ca="1">IF(TYPE(VLOOKUP($A3,'4.kolo'!$L$3:$L$66,1,0))&gt;3,IF(TYPE(VLOOKUP($A3,'4.kolo'!$K$3:$L$66,2,0))&gt;3,0,VLOOKUP($A3,'4.kolo'!$K$3:$L$66,2,0)),VLOOKUP($A3,'4.kolo'!$L$3:$O$66,4,0))</f>
        <v>4</v>
      </c>
      <c r="BI3" s="333">
        <f ca="1">IF(TYPE(VLOOKUP($A3,'4.kolo'!$L$3:$L$66,1,0))&gt;3,IF(TYPE(VLOOKUP($A3,'4.kolo'!$O$3:$Q$66,2,0))&gt;3,0,VLOOKUP($A3,'4.kolo'!$O$3:$Q$66,2,0)),VLOOKUP($A3,'4.kolo'!$L$3:$N$66,2,0))</f>
        <v>1</v>
      </c>
      <c r="BJ3" s="333">
        <f ca="1">IF(TYPE(VLOOKUP($A3,'4.kolo'!$L$3:$L$66,1,0))&gt;3,IF(TYPE(VLOOKUP($A3,'4.kolo'!$O$3:$Q$66,3,0))&gt;3,0,VLOOKUP($A3,'4.kolo'!$O$3:$Q$66,3,0)),VLOOKUP($A3,'4.kolo'!$L$3:$N$66,3,0))</f>
        <v>3</v>
      </c>
      <c r="BK3" s="333">
        <f ca="1">IF(AND(VLOOKUP($AG3,$A$3:$B$130,2,0)=1,BI3=1),1,0)</f>
        <v>1</v>
      </c>
      <c r="BL3" s="415">
        <v>11</v>
      </c>
      <c r="BM3" s="442" t="str">
        <f ca="1">IF(BL3="","",CONCATENATE(TEXT($O3,"0"),IF(Start.listina!$Y$5="","",TEXT(500+$P3,"000")),TEXT(999999*RAND(),"000000")))</f>
        <v>3261207</v>
      </c>
      <c r="BN3" s="333">
        <f t="shared" ref="BN3:BN34" ca="1" si="5">IF(OR(AND(N(BH3)=0,N(BL3)=0),TYPE(MATCH($AC3,$Z3:$AB3,0))&gt;1),0,1)</f>
        <v>0</v>
      </c>
      <c r="BQ3" s="333">
        <f ca="1">IF(TYPE(VLOOKUP($A3,'5.kolo'!$L$3:$L$66,1,0))&gt;3,IF(TYPE(VLOOKUP($A3,'5.kolo'!$K$3:$L$66,2,0))&gt;3,0,VLOOKUP($A3,'5.kolo'!$K$3:$L$66,2,0)),VLOOKUP($A3,'5.kolo'!$L$3:$O$66,4,0))</f>
        <v>0</v>
      </c>
      <c r="BR3" s="333">
        <f ca="1">IF(TYPE(VLOOKUP($A3,'5.kolo'!$L$3:$L$66,1,0))&gt;3,IF(TYPE(VLOOKUP($A3,'5.kolo'!$O$3:$Q$66,2,0))&gt;3,0,VLOOKUP($A3,'5.kolo'!$O$3:$Q$66,2,0)),VLOOKUP($A3,'5.kolo'!$L$3:$N$66,2,0))</f>
        <v>0</v>
      </c>
      <c r="BS3" s="333">
        <f ca="1">IF(TYPE(VLOOKUP($A3,'5.kolo'!$L$3:$L$66,1,0))&gt;3,IF(TYPE(VLOOKUP($A3,'5.kolo'!$O$3:$Q$66,3,0))&gt;3,0,VLOOKUP($A3,'5.kolo'!$O$3:$Q$66,3,0)),VLOOKUP($A3,'5.kolo'!$L$3:$N$66,3,0))</f>
        <v>0</v>
      </c>
      <c r="BT3" s="333">
        <f ca="1">IF(AND(VLOOKUP($AG3,$A$3:$B$130,2,0)=1,BR3=1),1,0)</f>
        <v>0</v>
      </c>
      <c r="BU3" s="415"/>
      <c r="BV3" s="442" t="str">
        <f ca="1">IF(BU3="","",CONCATENATE(TEXT($O3,"0"),IF(Start.listina!$Y$5="","",TEXT(500+$P3,"000")),TEXT(999999*RAND(),"000000")))</f>
        <v/>
      </c>
      <c r="BW3" s="333">
        <f t="shared" ref="BW3:BW34" ca="1" si="6">IF(OR(AND(N(BQ3)=0,N(BU3)=0),TYPE(MATCH($AD3,$Z3:$AC3,0))&gt;1),0,1)</f>
        <v>0</v>
      </c>
      <c r="BZ3" s="333">
        <f ca="1">IF(TYPE(VLOOKUP($A3,'6.kolo'!$L$3:$L$66,1,0))&gt;3,IF(TYPE(VLOOKUP($A3,'6.kolo'!$K$3:$L$66,2,0))&gt;3,0,VLOOKUP($A3,'6.kolo'!$K$3:$L$66,2,0)),VLOOKUP($A3,'6.kolo'!$L$3:$O$66,4,0))</f>
        <v>0</v>
      </c>
      <c r="CA3" s="333">
        <f ca="1">IF(TYPE(VLOOKUP($A3,'6.kolo'!$L$3:$L$66,1,0))&gt;3,IF(TYPE(VLOOKUP($A3,'6.kolo'!$O$3:$Q$66,2,0))&gt;3,0,VLOOKUP($A3,'6.kolo'!$O$3:$Q$66,2,0)),VLOOKUP($A3,'6.kolo'!$L$3:$N$66,2,0))</f>
        <v>0</v>
      </c>
      <c r="CB3" s="333">
        <f ca="1">IF(TYPE(VLOOKUP($A3,'6.kolo'!$L$3:$L$66,1,0))&gt;3,IF(TYPE(VLOOKUP($A3,'6.kolo'!$O$3:$Q$66,3,0))&gt;3,0,VLOOKUP($A3,'6.kolo'!$O$3:$Q$66,3,0)),VLOOKUP($A3,'6.kolo'!$L$3:$N$66,3,0))</f>
        <v>0</v>
      </c>
      <c r="CC3" s="333">
        <f ca="1">IF(AND(VLOOKUP($AG3,$A$3:$B$130,2,0)=1,CA3=1),1,0)</f>
        <v>0</v>
      </c>
      <c r="CD3" s="415"/>
      <c r="CE3" s="442" t="str">
        <f ca="1">IF(CD3="","",CONCATENATE(TEXT($O3,"0"),IF(Start.listina!$Y$5="","",TEXT(500+$P3,"000")),TEXT(999999*RAND(),"000000")))</f>
        <v/>
      </c>
      <c r="CF3" s="333">
        <f t="shared" ref="CF3:CF34" ca="1" si="7">IF(OR(AND(N(BZ3)=0,N(CD3)=0),TYPE(MATCH($AE3,$Z3:$AD3,0))&gt;1),0,1)</f>
        <v>0</v>
      </c>
    </row>
    <row r="4" spans="1:84" x14ac:dyDescent="0.25">
      <c r="A4" s="333">
        <f>IF(OR(Start.listina!H12&gt;Start.listina!$K$7,Start.listina!G12=TRUE),"",Start.listina!H12)</f>
        <v>2</v>
      </c>
      <c r="B4" s="333">
        <f>IF($A4&gt;Start.listina!$K$7,"",INT(($A4-1)/Start.listina!$O$7)+1)</f>
        <v>1</v>
      </c>
      <c r="C4" s="439" t="str">
        <f>IF(OR(Start.listina!H12&gt;Start.listina!$K$7,Start.listina!G12=TRUE)," - ",Start.listina!AL12)</f>
        <v>2 PC Sokol Lipník - Fafek Petr</v>
      </c>
      <c r="D4" s="333">
        <f>IF(OR(A4&gt;Start.listina!$K$7,TYPE(VLOOKUP(A4,$V$3:$X$130,3,0))&gt;3),"",VLOOKUP(A4,$V$3:$X$130,3,0))</f>
        <v>2</v>
      </c>
      <c r="E4" s="440">
        <f ca="1">IF(A4&gt;Start.listina!$K$7,"",IF(MIN(F4:K4)&gt;Start.listina!$Y$4,D4,MIN(F4:K4)))</f>
        <v>2</v>
      </c>
      <c r="F4" s="333">
        <f ca="1">IF(TYPE(VLOOKUP(C4,Konečné_pořadí_1_16!$B$2:$D$17,3,0))&lt;4,VLOOKUP(C4,Konečné_pořadí_1_16!$B$2:$D$17,3,0),999)</f>
        <v>2</v>
      </c>
      <c r="G4" s="333">
        <f ca="1">IF(TYPE(VLOOKUP(C4,'KO64'!$D$4:$D$129,1,0))&lt;4,64,999)</f>
        <v>64</v>
      </c>
      <c r="H4" s="333">
        <f ca="1">IF(TYPE(VLOOKUP(C4,'KO32'!$D$4:$D$65,1,0))&lt;4,32,999)</f>
        <v>32</v>
      </c>
      <c r="I4" s="333">
        <f ca="1">IF(TYPE(VLOOKUP(C4,'KO16'!$D$4:$D$33,1,0))&lt;4,16,999)</f>
        <v>16</v>
      </c>
      <c r="J4" s="333">
        <f ca="1">IF(TYPE(VLOOKUP(C4,'KO8'!$D$4:$D$17,1,0))&lt;4,8,999)</f>
        <v>8</v>
      </c>
      <c r="K4" s="333">
        <f ca="1">IF(TYPE(VLOOKUP(C4,'KO4'!$D$4:$D$9,1,0))&lt;4,4,999)</f>
        <v>4</v>
      </c>
      <c r="M4" s="334">
        <v>2</v>
      </c>
      <c r="O4" s="333">
        <f t="shared" ref="O4:O67" ca="1" si="8">AH4+AQ4+AZ4+BI4+BR4+CA4</f>
        <v>4</v>
      </c>
      <c r="P4" s="333">
        <f t="shared" ref="P4:P67" ca="1" si="9">AI4+AR4+BA4+BJ4+BS4+CB4</f>
        <v>39</v>
      </c>
      <c r="Q4" s="333">
        <f t="shared" ca="1" si="0"/>
        <v>9</v>
      </c>
      <c r="R4" s="333">
        <f t="shared" ca="1" si="1"/>
        <v>9</v>
      </c>
      <c r="S4" s="333">
        <f t="shared" ref="S4:S67" ca="1" si="10">VLOOKUP($Z4,$A$3:$Q$131,17,0)+VLOOKUP($AA4,$A$3:$Q$131,17,0)+VLOOKUP($AB4,$A$3:$Q$131,17,0)+VLOOKUP($AC4,$A$3:$Q$131,17,0)+VLOOKUP($AD4,$A$3:$Q$131,17,0)+VLOOKUP($AE4,$A$3:$Q$131,17,0)</f>
        <v>39</v>
      </c>
      <c r="T4" s="333">
        <f t="shared" ref="T4:T67" ca="1" si="11">AJ4+AS4+BB4+BK4+BT4+CC4</f>
        <v>0</v>
      </c>
      <c r="U4" s="415">
        <f>ROW()-2</f>
        <v>2</v>
      </c>
      <c r="V4" s="415">
        <v>2</v>
      </c>
      <c r="W4" s="441" t="str">
        <f ca="1">IF($V4="","",CONCATENATE(TEXT($O4,"0"),IF(Start.listina!$Y$5="","",TEXT(500+$P4,"0000")),IF(Start.listina!$Y$6="","",CHOOSE(Start.listina!$Y$7,TEXT($Q4,"00"),CONCATENATE(TEXT($Q4,"00"),TEXT($S4,"000")), TEXT($R4,"00"))),TEXT(500+$P4,"0000"),IF(Start.listina!$Y$8="","",TEXT($T4,"0")),TEXT(999999*RAND(),"000000")))</f>
        <v>4090390539625451</v>
      </c>
      <c r="X4" s="417">
        <f t="shared" ref="X4:X67" si="12">ROW()-2</f>
        <v>2</v>
      </c>
      <c r="Y4" s="415">
        <f t="shared" ca="1" si="2"/>
        <v>4</v>
      </c>
      <c r="Z4" s="333">
        <f t="shared" ref="Z4:Z67" ca="1" si="13">$AG4</f>
        <v>27</v>
      </c>
      <c r="AA4" s="333">
        <f t="shared" ref="AA4:AA67" ca="1" si="14">$AP4</f>
        <v>23</v>
      </c>
      <c r="AB4" s="333">
        <f t="shared" ref="AB4:AB67" ca="1" si="15">$AY4</f>
        <v>9</v>
      </c>
      <c r="AC4" s="333">
        <f t="shared" ref="AC4:AC67" ca="1" si="16">$BH4</f>
        <v>19</v>
      </c>
      <c r="AD4" s="333">
        <f t="shared" ref="AD4:AD67" ca="1" si="17">$BQ4</f>
        <v>0</v>
      </c>
      <c r="AE4" s="333">
        <f t="shared" ref="AE4:AE67" ca="1" si="18">$BZ4</f>
        <v>0</v>
      </c>
      <c r="AG4" s="333">
        <f ca="1">IF(TYPE(VLOOKUP($A4,'1.kolo'!$L$3:$L$66,1,0))&gt;3,VLOOKUP($A4,'1.kolo'!$K$3:$L$66,2,0),VLOOKUP($A4,'1.kolo'!$L$3:$O$66,4,0))</f>
        <v>27</v>
      </c>
      <c r="AH4" s="333">
        <f ca="1">IF(TYPE(VLOOKUP($A4,'1.kolo'!$L$3:$L$66,1,0))&gt;3,VLOOKUP($A4,'1.kolo'!$O$3:$Q$66,2,0),VLOOKUP($A4,'1.kolo'!$L$3:$N$66,2,0))</f>
        <v>1</v>
      </c>
      <c r="AI4" s="333">
        <f ca="1">IF(TYPE(VLOOKUP($A4,'1.kolo'!$L$3:$L$66,1,0))&gt;3,VLOOKUP($A4,'1.kolo'!$O$3:$Q$66,3,0),VLOOKUP($A4,'1.kolo'!$L$3:$N$66,3,0))</f>
        <v>8</v>
      </c>
      <c r="AJ4" s="333">
        <f t="shared" ref="AJ4:AJ67" ca="1" si="19">IF(AND(VLOOKUP($AG4,$A$3:$B$130,2,0)=1,AH4=1),1,0)</f>
        <v>0</v>
      </c>
      <c r="AK4" s="333">
        <v>2</v>
      </c>
      <c r="AL4" s="442"/>
      <c r="AP4" s="333">
        <f ca="1">IF(TYPE(VLOOKUP($A4,'2.kolo'!$L$3:$L$66,1,0))&gt;3,IF(TYPE(VLOOKUP($A4,'2.kolo'!$K$3:$L$66,2,0))&gt;3,0,VLOOKUP($A4,'2.kolo'!$K$3:$L$66,2,0)),VLOOKUP($A4,'2.kolo'!$L$3:$O$66,4,0))</f>
        <v>23</v>
      </c>
      <c r="AQ4" s="333">
        <f ca="1">IF(TYPE(VLOOKUP($A4,'2.kolo'!$L$3:$L$66,1,0))&gt;3,IF(TYPE(VLOOKUP($A4,'2.kolo'!$O$3:$Q$66,2,0))&gt;3,0,VLOOKUP($A4,'2.kolo'!$O$3:$Q$66,2,0)),VLOOKUP($A4,'2.kolo'!$L$3:$N$66,2,0))</f>
        <v>1</v>
      </c>
      <c r="AR4" s="333">
        <f ca="1">IF(TYPE(VLOOKUP($A4,'2.kolo'!$L$3:$L$66,1,0))&gt;3,IF(TYPE(VLOOKUP($A4,'2.kolo'!$O$3:$Q$66,3,0))&gt;3,0,VLOOKUP($A4,'2.kolo'!$O$3:$Q$66,3,0)),VLOOKUP($A4,'2.kolo'!$L$3:$N$66,3,0))</f>
        <v>9</v>
      </c>
      <c r="AS4" s="333">
        <f t="shared" ref="AS4:AS67" ca="1" si="20">IF(AND(VLOOKUP($AG4,$A$3:$B$130,2,0)=1,AQ4=1),1,0)</f>
        <v>0</v>
      </c>
      <c r="AT4" s="415">
        <v>11</v>
      </c>
      <c r="AU4" s="442" t="str">
        <f ca="1">IF(AT4="","",CONCATENATE(TEXT($O4,"0"),IF(Start.listina!$Y$5="","",TEXT(500+$P4,"000")),TEXT(999999*RAND(),"000000")))</f>
        <v>4253965</v>
      </c>
      <c r="AV4" s="333">
        <f t="shared" ca="1" si="3"/>
        <v>0</v>
      </c>
      <c r="AY4" s="333">
        <f ca="1">IF(TYPE(VLOOKUP($A4,'3.kolo'!$L$3:$L$66,1,0))&gt;3,IF(TYPE(VLOOKUP($A4,'3.kolo'!$K$3:$L$66,2,0))&gt;3,0,VLOOKUP($A4,'3.kolo'!$K$3:$L$66,2,0)),VLOOKUP($A4,'3.kolo'!$L$3:$O$66,4,0))</f>
        <v>9</v>
      </c>
      <c r="AZ4" s="333">
        <f ca="1">IF(TYPE(VLOOKUP($A4,'3.kolo'!$L$3:$L$66,1,0))&gt;3,IF(TYPE(VLOOKUP($A4,'3.kolo'!$O$3:$Q$66,2,0))&gt;3,0,VLOOKUP($A4,'3.kolo'!$O$3:$Q$66,2,0)),VLOOKUP($A4,'3.kolo'!$L$3:$N$66,2,0))</f>
        <v>1</v>
      </c>
      <c r="BA4" s="333">
        <f ca="1">IF(TYPE(VLOOKUP($A4,'3.kolo'!$L$3:$L$66,1,0))&gt;3,IF(TYPE(VLOOKUP($A4,'3.kolo'!$O$3:$Q$66,3,0))&gt;3,0,VLOOKUP($A4,'3.kolo'!$O$3:$Q$66,3,0)),VLOOKUP($A4,'3.kolo'!$L$3:$N$66,3,0))</f>
        <v>12</v>
      </c>
      <c r="BB4" s="333">
        <f t="shared" ref="BB4:BB67" ca="1" si="21">IF(AND(VLOOKUP($AG4,$A$3:$B$130,2,0)=1,AZ4=1),1,0)</f>
        <v>0</v>
      </c>
      <c r="BC4" s="415">
        <v>3</v>
      </c>
      <c r="BD4" s="442" t="str">
        <f ca="1">IF(BC4="","",CONCATENATE(TEXT($O4,"0"),IF(Start.listina!$Y$5="","",TEXT(500+$P4,"000")),TEXT(999999*RAND(),"000000")))</f>
        <v>4700318</v>
      </c>
      <c r="BE4" s="333">
        <f t="shared" ca="1" si="4"/>
        <v>0</v>
      </c>
      <c r="BH4" s="333">
        <f ca="1">IF(TYPE(VLOOKUP($A4,'4.kolo'!$L$3:$L$66,1,0))&gt;3,IF(TYPE(VLOOKUP($A4,'4.kolo'!$K$3:$L$66,2,0))&gt;3,0,VLOOKUP($A4,'4.kolo'!$K$3:$L$66,2,0)),VLOOKUP($A4,'4.kolo'!$L$3:$O$66,4,0))</f>
        <v>19</v>
      </c>
      <c r="BI4" s="333">
        <f ca="1">IF(TYPE(VLOOKUP($A4,'4.kolo'!$L$3:$L$66,1,0))&gt;3,IF(TYPE(VLOOKUP($A4,'4.kolo'!$O$3:$Q$66,2,0))&gt;3,0,VLOOKUP($A4,'4.kolo'!$O$3:$Q$66,2,0)),VLOOKUP($A4,'4.kolo'!$L$3:$N$66,2,0))</f>
        <v>1</v>
      </c>
      <c r="BJ4" s="333">
        <f ca="1">IF(TYPE(VLOOKUP($A4,'4.kolo'!$L$3:$L$66,1,0))&gt;3,IF(TYPE(VLOOKUP($A4,'4.kolo'!$O$3:$Q$66,3,0))&gt;3,0,VLOOKUP($A4,'4.kolo'!$O$3:$Q$66,3,0)),VLOOKUP($A4,'4.kolo'!$L$3:$N$66,3,0))</f>
        <v>10</v>
      </c>
      <c r="BK4" s="333">
        <f t="shared" ref="BK4:BK67" ca="1" si="22">IF(AND(VLOOKUP($AG4,$A$3:$B$130,2,0)=1,BI4=1),1,0)</f>
        <v>0</v>
      </c>
      <c r="BL4" s="415">
        <v>43</v>
      </c>
      <c r="BM4" s="442" t="str">
        <f ca="1">IF(BL4="","",CONCATENATE(TEXT($O4,"0"),IF(Start.listina!$Y$5="","",TEXT(500+$P4,"000")),TEXT(999999*RAND(),"000000")))</f>
        <v>4947837</v>
      </c>
      <c r="BN4" s="333">
        <f t="shared" ca="1" si="5"/>
        <v>0</v>
      </c>
      <c r="BQ4" s="333">
        <f ca="1">IF(TYPE(VLOOKUP($A4,'5.kolo'!$L$3:$L$66,1,0))&gt;3,IF(TYPE(VLOOKUP($A4,'5.kolo'!$K$3:$L$66,2,0))&gt;3,0,VLOOKUP($A4,'5.kolo'!$K$3:$L$66,2,0)),VLOOKUP($A4,'5.kolo'!$L$3:$O$66,4,0))</f>
        <v>0</v>
      </c>
      <c r="BR4" s="333">
        <f ca="1">IF(TYPE(VLOOKUP($A4,'5.kolo'!$L$3:$L$66,1,0))&gt;3,IF(TYPE(VLOOKUP($A4,'5.kolo'!$O$3:$Q$66,2,0))&gt;3,0,VLOOKUP($A4,'5.kolo'!$O$3:$Q$66,2,0)),VLOOKUP($A4,'5.kolo'!$L$3:$N$66,2,0))</f>
        <v>0</v>
      </c>
      <c r="BS4" s="333">
        <f ca="1">IF(TYPE(VLOOKUP($A4,'5.kolo'!$L$3:$L$66,1,0))&gt;3,IF(TYPE(VLOOKUP($A4,'5.kolo'!$O$3:$Q$66,3,0))&gt;3,0,VLOOKUP($A4,'5.kolo'!$O$3:$Q$66,3,0)),VLOOKUP($A4,'5.kolo'!$L$3:$N$66,3,0))</f>
        <v>0</v>
      </c>
      <c r="BT4" s="333">
        <f t="shared" ref="BT4:BT67" ca="1" si="23">IF(AND(VLOOKUP($AG4,$A$3:$B$130,2,0)=1,BR4=1),1,0)</f>
        <v>0</v>
      </c>
      <c r="BU4" s="415"/>
      <c r="BV4" s="442" t="str">
        <f ca="1">IF(BU4="","",CONCATENATE(TEXT($O4,"0"),IF(Start.listina!$Y$5="","",TEXT(500+$P4,"000")),TEXT(999999*RAND(),"000000")))</f>
        <v/>
      </c>
      <c r="BW4" s="333">
        <f t="shared" ca="1" si="6"/>
        <v>0</v>
      </c>
      <c r="BZ4" s="333">
        <f ca="1">IF(TYPE(VLOOKUP($A4,'6.kolo'!$L$3:$L$66,1,0))&gt;3,IF(TYPE(VLOOKUP($A4,'6.kolo'!$K$3:$L$66,2,0))&gt;3,0,VLOOKUP($A4,'6.kolo'!$K$3:$L$66,2,0)),VLOOKUP($A4,'6.kolo'!$L$3:$O$66,4,0))</f>
        <v>0</v>
      </c>
      <c r="CA4" s="333">
        <f ca="1">IF(TYPE(VLOOKUP($A4,'6.kolo'!$L$3:$L$66,1,0))&gt;3,IF(TYPE(VLOOKUP($A4,'6.kolo'!$O$3:$Q$66,2,0))&gt;3,0,VLOOKUP($A4,'6.kolo'!$O$3:$Q$66,2,0)),VLOOKUP($A4,'6.kolo'!$L$3:$N$66,2,0))</f>
        <v>0</v>
      </c>
      <c r="CB4" s="333">
        <f ca="1">IF(TYPE(VLOOKUP($A4,'6.kolo'!$L$3:$L$66,1,0))&gt;3,IF(TYPE(VLOOKUP($A4,'6.kolo'!$O$3:$Q$66,3,0))&gt;3,0,VLOOKUP($A4,'6.kolo'!$O$3:$Q$66,3,0)),VLOOKUP($A4,'6.kolo'!$L$3:$N$66,3,0))</f>
        <v>0</v>
      </c>
      <c r="CC4" s="333">
        <f t="shared" ref="CC4:CC67" ca="1" si="24">IF(AND(VLOOKUP($AG4,$A$3:$B$130,2,0)=1,CA4=1),1,0)</f>
        <v>0</v>
      </c>
      <c r="CD4" s="415"/>
      <c r="CE4" s="442" t="str">
        <f ca="1">IF(CD4="","",CONCATENATE(TEXT($O4,"0"),IF(Start.listina!$Y$5="","",TEXT(500+$P4,"000")),TEXT(999999*RAND(),"000000")))</f>
        <v/>
      </c>
      <c r="CF4" s="333">
        <f t="shared" ca="1" si="7"/>
        <v>0</v>
      </c>
    </row>
    <row r="5" spans="1:84" x14ac:dyDescent="0.25">
      <c r="A5" s="333">
        <f>IF(OR(Start.listina!H13&gt;Start.listina!$K$7,Start.listina!G13=TRUE),"",Start.listina!H13)</f>
        <v>3</v>
      </c>
      <c r="B5" s="333">
        <f>IF($A5&gt;Start.listina!$K$7,"",INT(($A5-1)/Start.listina!$O$7)+1)</f>
        <v>1</v>
      </c>
      <c r="C5" s="439" t="str">
        <f>IF(OR(Start.listina!H13&gt;Start.listina!$K$7,Start.listina!G13=TRUE)," - ",Start.listina!AL13)</f>
        <v>3 Petank Club Praha - Klír Tomáš</v>
      </c>
      <c r="D5" s="333">
        <f>IF(OR(A5&gt;Start.listina!$K$7,TYPE(VLOOKUP(A5,$V$3:$X$130,3,0))&gt;3),"",VLOOKUP(A5,$V$3:$X$130,3,0))</f>
        <v>12</v>
      </c>
      <c r="E5" s="440">
        <f ca="1">IF(A5&gt;Start.listina!$K$7,"",IF(MIN(F5:K5)&gt;Start.listina!$Y$4,D5,MIN(F5:K5)))</f>
        <v>4</v>
      </c>
      <c r="F5" s="333">
        <f ca="1">IF(TYPE(VLOOKUP(C5,Konečné_pořadí_1_16!$B$2:$D$17,3,0))&lt;4,VLOOKUP(C5,Konečné_pořadí_1_16!$B$2:$D$17,3,0),999)</f>
        <v>4</v>
      </c>
      <c r="G5" s="333">
        <f ca="1">IF(TYPE(VLOOKUP(C5,'KO64'!$D$4:$D$129,1,0))&lt;4,64,999)</f>
        <v>64</v>
      </c>
      <c r="H5" s="333">
        <f ca="1">IF(TYPE(VLOOKUP(C5,'KO32'!$D$4:$D$65,1,0))&lt;4,32,999)</f>
        <v>32</v>
      </c>
      <c r="I5" s="333">
        <f ca="1">IF(TYPE(VLOOKUP(C5,'KO16'!$D$4:$D$33,1,0))&lt;4,16,999)</f>
        <v>16</v>
      </c>
      <c r="J5" s="333">
        <f ca="1">IF(TYPE(VLOOKUP(C5,'KO8'!$D$4:$D$17,1,0))&lt;4,8,999)</f>
        <v>8</v>
      </c>
      <c r="K5" s="333">
        <f ca="1">IF(TYPE(VLOOKUP(C5,'KO4'!$D$4:$D$9,1,0))&lt;4,4,999)</f>
        <v>4</v>
      </c>
      <c r="M5" s="334">
        <v>3</v>
      </c>
      <c r="O5" s="333">
        <f t="shared" ca="1" si="8"/>
        <v>3</v>
      </c>
      <c r="P5" s="333">
        <f t="shared" ca="1" si="9"/>
        <v>21</v>
      </c>
      <c r="Q5" s="333">
        <f t="shared" ca="1" si="0"/>
        <v>8</v>
      </c>
      <c r="R5" s="333">
        <f t="shared" ca="1" si="1"/>
        <v>5</v>
      </c>
      <c r="S5" s="333">
        <f t="shared" ca="1" si="10"/>
        <v>36</v>
      </c>
      <c r="T5" s="333">
        <f t="shared" ca="1" si="11"/>
        <v>0</v>
      </c>
      <c r="U5" s="415">
        <f t="shared" ref="U5:U68" si="25">ROW()-2</f>
        <v>3</v>
      </c>
      <c r="V5" s="415">
        <v>11</v>
      </c>
      <c r="W5" s="441" t="str">
        <f ca="1">IF($V5="","",CONCATENATE(TEXT($O5,"0"),IF(Start.listina!$Y$5="","",TEXT(500+$P5,"0000")),IF(Start.listina!$Y$6="","",CHOOSE(Start.listina!$Y$7,TEXT($Q5,"00"),CONCATENATE(TEXT($Q5,"00"),TEXT($S5,"000")), TEXT($R5,"00"))),TEXT(500+$P5,"0000"),IF(Start.listina!$Y$8="","",TEXT($T5,"0")),TEXT(999999*RAND(),"000000")))</f>
        <v>3080360521489343</v>
      </c>
      <c r="X5" s="417">
        <f t="shared" si="12"/>
        <v>3</v>
      </c>
      <c r="Y5" s="415">
        <f t="shared" ca="1" si="2"/>
        <v>4</v>
      </c>
      <c r="Z5" s="333">
        <f t="shared" ca="1" si="13"/>
        <v>28</v>
      </c>
      <c r="AA5" s="333">
        <f t="shared" ca="1" si="14"/>
        <v>13</v>
      </c>
      <c r="AB5" s="333">
        <f t="shared" ca="1" si="15"/>
        <v>4</v>
      </c>
      <c r="AC5" s="333">
        <f t="shared" ca="1" si="16"/>
        <v>35</v>
      </c>
      <c r="AD5" s="333">
        <f t="shared" ca="1" si="17"/>
        <v>0</v>
      </c>
      <c r="AE5" s="333">
        <f t="shared" ca="1" si="18"/>
        <v>0</v>
      </c>
      <c r="AG5" s="333">
        <f ca="1">IF(TYPE(VLOOKUP($A5,'1.kolo'!$L$3:$L$66,1,0))&gt;3,VLOOKUP($A5,'1.kolo'!$K$3:$L$66,2,0),VLOOKUP($A5,'1.kolo'!$L$3:$O$66,4,0))</f>
        <v>28</v>
      </c>
      <c r="AH5" s="333">
        <f ca="1">IF(TYPE(VLOOKUP($A5,'1.kolo'!$L$3:$L$66,1,0))&gt;3,VLOOKUP($A5,'1.kolo'!$O$3:$Q$66,2,0),VLOOKUP($A5,'1.kolo'!$L$3:$N$66,2,0))</f>
        <v>1</v>
      </c>
      <c r="AI5" s="333">
        <f ca="1">IF(TYPE(VLOOKUP($A5,'1.kolo'!$L$3:$L$66,1,0))&gt;3,VLOOKUP($A5,'1.kolo'!$O$3:$Q$66,3,0),VLOOKUP($A5,'1.kolo'!$L$3:$N$66,3,0))</f>
        <v>11</v>
      </c>
      <c r="AJ5" s="333">
        <f t="shared" ca="1" si="19"/>
        <v>0</v>
      </c>
      <c r="AK5" s="333">
        <v>3</v>
      </c>
      <c r="AL5" s="442"/>
      <c r="AP5" s="333">
        <f ca="1">IF(TYPE(VLOOKUP($A5,'2.kolo'!$L$3:$L$66,1,0))&gt;3,IF(TYPE(VLOOKUP($A5,'2.kolo'!$K$3:$L$66,2,0))&gt;3,0,VLOOKUP($A5,'2.kolo'!$K$3:$L$66,2,0)),VLOOKUP($A5,'2.kolo'!$L$3:$O$66,4,0))</f>
        <v>13</v>
      </c>
      <c r="AQ5" s="333">
        <f ca="1">IF(TYPE(VLOOKUP($A5,'2.kolo'!$L$3:$L$66,1,0))&gt;3,IF(TYPE(VLOOKUP($A5,'2.kolo'!$O$3:$Q$66,2,0))&gt;3,0,VLOOKUP($A5,'2.kolo'!$O$3:$Q$66,2,0)),VLOOKUP($A5,'2.kolo'!$L$3:$N$66,2,0))</f>
        <v>1</v>
      </c>
      <c r="AR5" s="333">
        <f ca="1">IF(TYPE(VLOOKUP($A5,'2.kolo'!$L$3:$L$66,1,0))&gt;3,IF(TYPE(VLOOKUP($A5,'2.kolo'!$O$3:$Q$66,3,0))&gt;3,0,VLOOKUP($A5,'2.kolo'!$O$3:$Q$66,3,0)),VLOOKUP($A5,'2.kolo'!$L$3:$N$66,3,0))</f>
        <v>11</v>
      </c>
      <c r="AS5" s="333">
        <f t="shared" ca="1" si="20"/>
        <v>0</v>
      </c>
      <c r="AT5" s="415">
        <v>2</v>
      </c>
      <c r="AU5" s="442" t="str">
        <f ca="1">IF(AT5="","",CONCATENATE(TEXT($O5,"0"),IF(Start.listina!$Y$5="","",TEXT(500+$P5,"000")),TEXT(999999*RAND(),"000000")))</f>
        <v>3458966</v>
      </c>
      <c r="AV5" s="333">
        <f t="shared" ca="1" si="3"/>
        <v>0</v>
      </c>
      <c r="AY5" s="333">
        <f ca="1">IF(TYPE(VLOOKUP($A5,'3.kolo'!$L$3:$L$66,1,0))&gt;3,IF(TYPE(VLOOKUP($A5,'3.kolo'!$K$3:$L$66,2,0))&gt;3,0,VLOOKUP($A5,'3.kolo'!$K$3:$L$66,2,0)),VLOOKUP($A5,'3.kolo'!$L$3:$O$66,4,0))</f>
        <v>4</v>
      </c>
      <c r="AZ5" s="333">
        <f ca="1">IF(TYPE(VLOOKUP($A5,'3.kolo'!$L$3:$L$66,1,0))&gt;3,IF(TYPE(VLOOKUP($A5,'3.kolo'!$O$3:$Q$66,2,0))&gt;3,0,VLOOKUP($A5,'3.kolo'!$O$3:$Q$66,2,0)),VLOOKUP($A5,'3.kolo'!$L$3:$N$66,2,0))</f>
        <v>1</v>
      </c>
      <c r="BA5" s="333">
        <f ca="1">IF(TYPE(VLOOKUP($A5,'3.kolo'!$L$3:$L$66,1,0))&gt;3,IF(TYPE(VLOOKUP($A5,'3.kolo'!$O$3:$Q$66,3,0))&gt;3,0,VLOOKUP($A5,'3.kolo'!$O$3:$Q$66,3,0)),VLOOKUP($A5,'3.kolo'!$L$3:$N$66,3,0))</f>
        <v>3</v>
      </c>
      <c r="BB5" s="333">
        <f t="shared" ca="1" si="21"/>
        <v>0</v>
      </c>
      <c r="BC5" s="415">
        <v>22</v>
      </c>
      <c r="BD5" s="442" t="str">
        <f ca="1">IF(BC5="","",CONCATENATE(TEXT($O5,"0"),IF(Start.listina!$Y$5="","",TEXT(500+$P5,"000")),TEXT(999999*RAND(),"000000")))</f>
        <v>3323057</v>
      </c>
      <c r="BE5" s="333">
        <f t="shared" ca="1" si="4"/>
        <v>0</v>
      </c>
      <c r="BH5" s="333">
        <f ca="1">IF(TYPE(VLOOKUP($A5,'4.kolo'!$L$3:$L$66,1,0))&gt;3,IF(TYPE(VLOOKUP($A5,'4.kolo'!$K$3:$L$66,2,0))&gt;3,0,VLOOKUP($A5,'4.kolo'!$K$3:$L$66,2,0)),VLOOKUP($A5,'4.kolo'!$L$3:$O$66,4,0))</f>
        <v>35</v>
      </c>
      <c r="BI5" s="333">
        <f ca="1">IF(TYPE(VLOOKUP($A5,'4.kolo'!$L$3:$L$66,1,0))&gt;3,IF(TYPE(VLOOKUP($A5,'4.kolo'!$O$3:$Q$66,2,0))&gt;3,0,VLOOKUP($A5,'4.kolo'!$O$3:$Q$66,2,0)),VLOOKUP($A5,'4.kolo'!$L$3:$N$66,2,0))</f>
        <v>0</v>
      </c>
      <c r="BJ5" s="333">
        <f ca="1">IF(TYPE(VLOOKUP($A5,'4.kolo'!$L$3:$L$66,1,0))&gt;3,IF(TYPE(VLOOKUP($A5,'4.kolo'!$O$3:$Q$66,3,0))&gt;3,0,VLOOKUP($A5,'4.kolo'!$O$3:$Q$66,3,0)),VLOOKUP($A5,'4.kolo'!$L$3:$N$66,3,0))</f>
        <v>-4</v>
      </c>
      <c r="BK5" s="333">
        <f t="shared" ca="1" si="22"/>
        <v>0</v>
      </c>
      <c r="BL5" s="415">
        <v>6</v>
      </c>
      <c r="BM5" s="442" t="str">
        <f ca="1">IF(BL5="","",CONCATENATE(TEXT($O5,"0"),IF(Start.listina!$Y$5="","",TEXT(500+$P5,"000")),TEXT(999999*RAND(),"000000")))</f>
        <v>3282907</v>
      </c>
      <c r="BN5" s="333">
        <f t="shared" ca="1" si="5"/>
        <v>0</v>
      </c>
      <c r="BQ5" s="333">
        <f ca="1">IF(TYPE(VLOOKUP($A5,'5.kolo'!$L$3:$L$66,1,0))&gt;3,IF(TYPE(VLOOKUP($A5,'5.kolo'!$K$3:$L$66,2,0))&gt;3,0,VLOOKUP($A5,'5.kolo'!$K$3:$L$66,2,0)),VLOOKUP($A5,'5.kolo'!$L$3:$O$66,4,0))</f>
        <v>0</v>
      </c>
      <c r="BR5" s="333">
        <f ca="1">IF(TYPE(VLOOKUP($A5,'5.kolo'!$L$3:$L$66,1,0))&gt;3,IF(TYPE(VLOOKUP($A5,'5.kolo'!$O$3:$Q$66,2,0))&gt;3,0,VLOOKUP($A5,'5.kolo'!$O$3:$Q$66,2,0)),VLOOKUP($A5,'5.kolo'!$L$3:$N$66,2,0))</f>
        <v>0</v>
      </c>
      <c r="BS5" s="333">
        <f ca="1">IF(TYPE(VLOOKUP($A5,'5.kolo'!$L$3:$L$66,1,0))&gt;3,IF(TYPE(VLOOKUP($A5,'5.kolo'!$O$3:$Q$66,3,0))&gt;3,0,VLOOKUP($A5,'5.kolo'!$O$3:$Q$66,3,0)),VLOOKUP($A5,'5.kolo'!$L$3:$N$66,3,0))</f>
        <v>0</v>
      </c>
      <c r="BT5" s="333">
        <f t="shared" ca="1" si="23"/>
        <v>0</v>
      </c>
      <c r="BU5" s="415"/>
      <c r="BV5" s="442" t="str">
        <f ca="1">IF(BU5="","",CONCATENATE(TEXT($O5,"0"),IF(Start.listina!$Y$5="","",TEXT(500+$P5,"000")),TEXT(999999*RAND(),"000000")))</f>
        <v/>
      </c>
      <c r="BW5" s="333">
        <f t="shared" ca="1" si="6"/>
        <v>0</v>
      </c>
      <c r="BZ5" s="333">
        <f ca="1">IF(TYPE(VLOOKUP($A5,'6.kolo'!$L$3:$L$66,1,0))&gt;3,IF(TYPE(VLOOKUP($A5,'6.kolo'!$K$3:$L$66,2,0))&gt;3,0,VLOOKUP($A5,'6.kolo'!$K$3:$L$66,2,0)),VLOOKUP($A5,'6.kolo'!$L$3:$O$66,4,0))</f>
        <v>0</v>
      </c>
      <c r="CA5" s="333">
        <f ca="1">IF(TYPE(VLOOKUP($A5,'6.kolo'!$L$3:$L$66,1,0))&gt;3,IF(TYPE(VLOOKUP($A5,'6.kolo'!$O$3:$Q$66,2,0))&gt;3,0,VLOOKUP($A5,'6.kolo'!$O$3:$Q$66,2,0)),VLOOKUP($A5,'6.kolo'!$L$3:$N$66,2,0))</f>
        <v>0</v>
      </c>
      <c r="CB5" s="333">
        <f ca="1">IF(TYPE(VLOOKUP($A5,'6.kolo'!$L$3:$L$66,1,0))&gt;3,IF(TYPE(VLOOKUP($A5,'6.kolo'!$O$3:$Q$66,3,0))&gt;3,0,VLOOKUP($A5,'6.kolo'!$O$3:$Q$66,3,0)),VLOOKUP($A5,'6.kolo'!$L$3:$N$66,3,0))</f>
        <v>0</v>
      </c>
      <c r="CC5" s="333">
        <f t="shared" ca="1" si="24"/>
        <v>0</v>
      </c>
      <c r="CD5" s="415"/>
      <c r="CE5" s="442" t="str">
        <f ca="1">IF(CD5="","",CONCATENATE(TEXT($O5,"0"),IF(Start.listina!$Y$5="","",TEXT(500+$P5,"000")),TEXT(999999*RAND(),"000000")))</f>
        <v/>
      </c>
      <c r="CF5" s="333">
        <f t="shared" ca="1" si="7"/>
        <v>0</v>
      </c>
    </row>
    <row r="6" spans="1:84" x14ac:dyDescent="0.25">
      <c r="A6" s="333">
        <f>IF(OR(Start.listina!H14&gt;Start.listina!$K$7,Start.listina!G14=TRUE),"",Start.listina!H14)</f>
        <v>4</v>
      </c>
      <c r="B6" s="333">
        <f>IF($A6&gt;Start.listina!$K$7,"",INT(($A6-1)/Start.listina!$O$7)+1)</f>
        <v>1</v>
      </c>
      <c r="C6" s="439" t="str">
        <f>IF(OR(Start.listina!H14&gt;Start.listina!$K$7,Start.listina!G14=TRUE)," - ",Start.listina!AL14)</f>
        <v>4 1. KPK Vrchlabí - Brázda Vladimír</v>
      </c>
      <c r="D6" s="333">
        <f>IF(OR(A6&gt;Start.listina!$K$7,TYPE(VLOOKUP(A6,$V$3:$X$130,3,0))&gt;3),"",VLOOKUP(A6,$V$3:$X$130,3,0))</f>
        <v>18</v>
      </c>
      <c r="E6" s="440">
        <f ca="1">IF(A6&gt;Start.listina!$K$7,"",IF(MIN(F6:K6)&gt;Start.listina!$Y$4,D6,MIN(F6:K6)))</f>
        <v>18</v>
      </c>
      <c r="F6" s="333">
        <f ca="1">IF(TYPE(VLOOKUP(C6,Konečné_pořadí_1_16!$B$2:$D$17,3,0))&lt;4,VLOOKUP(C6,Konečné_pořadí_1_16!$B$2:$D$17,3,0),999)</f>
        <v>999</v>
      </c>
      <c r="G6" s="333">
        <f ca="1">IF(TYPE(VLOOKUP(C6,'KO64'!$D$4:$D$129,1,0))&lt;4,64,999)</f>
        <v>999</v>
      </c>
      <c r="H6" s="333">
        <f ca="1">IF(TYPE(VLOOKUP(C6,'KO32'!$D$4:$D$65,1,0))&lt;4,32,999)</f>
        <v>999</v>
      </c>
      <c r="I6" s="333">
        <f ca="1">IF(TYPE(VLOOKUP(C6,'KO16'!$D$4:$D$33,1,0))&lt;4,16,999)</f>
        <v>999</v>
      </c>
      <c r="J6" s="333">
        <f ca="1">IF(TYPE(VLOOKUP(C6,'KO8'!$D$4:$D$17,1,0))&lt;4,8,999)</f>
        <v>999</v>
      </c>
      <c r="K6" s="333">
        <f ca="1">IF(TYPE(VLOOKUP(C6,'KO4'!$D$4:$D$9,1,0))&lt;4,4,999)</f>
        <v>999</v>
      </c>
      <c r="M6" s="334">
        <v>4</v>
      </c>
      <c r="O6" s="333">
        <f t="shared" ca="1" si="8"/>
        <v>2</v>
      </c>
      <c r="P6" s="333">
        <f t="shared" ca="1" si="9"/>
        <v>-1</v>
      </c>
      <c r="Q6" s="333">
        <f t="shared" ca="1" si="0"/>
        <v>11</v>
      </c>
      <c r="R6" s="333">
        <f t="shared" ca="1" si="1"/>
        <v>5</v>
      </c>
      <c r="S6" s="333">
        <f t="shared" ca="1" si="10"/>
        <v>30</v>
      </c>
      <c r="T6" s="333">
        <f t="shared" ca="1" si="11"/>
        <v>0</v>
      </c>
      <c r="U6" s="415">
        <f t="shared" si="25"/>
        <v>4</v>
      </c>
      <c r="V6" s="415">
        <v>19</v>
      </c>
      <c r="W6" s="441" t="str">
        <f ca="1">IF($V6="","",CONCATENATE(TEXT($O6,"0"),IF(Start.listina!$Y$5="","",TEXT(500+$P6,"0000")),IF(Start.listina!$Y$6="","",CHOOSE(Start.listina!$Y$7,TEXT($Q6,"00"),CONCATENATE(TEXT($Q6,"00"),TEXT($S6,"000")), TEXT($R6,"00"))),TEXT(500+$P6,"0000"),IF(Start.listina!$Y$8="","",TEXT($T6,"0")),TEXT(999999*RAND(),"000000")))</f>
        <v>2110300499948983</v>
      </c>
      <c r="X6" s="417">
        <f t="shared" si="12"/>
        <v>4</v>
      </c>
      <c r="Y6" s="415">
        <f t="shared" ca="1" si="2"/>
        <v>3</v>
      </c>
      <c r="Z6" s="333">
        <f t="shared" ca="1" si="13"/>
        <v>29</v>
      </c>
      <c r="AA6" s="333">
        <f t="shared" ca="1" si="14"/>
        <v>10</v>
      </c>
      <c r="AB6" s="333">
        <f t="shared" ca="1" si="15"/>
        <v>3</v>
      </c>
      <c r="AC6" s="333">
        <f t="shared" ca="1" si="16"/>
        <v>1</v>
      </c>
      <c r="AD6" s="333">
        <f t="shared" ca="1" si="17"/>
        <v>0</v>
      </c>
      <c r="AE6" s="333">
        <f t="shared" ca="1" si="18"/>
        <v>0</v>
      </c>
      <c r="AG6" s="333">
        <f ca="1">IF(TYPE(VLOOKUP($A6,'1.kolo'!$L$3:$L$66,1,0))&gt;3,VLOOKUP($A6,'1.kolo'!$K$3:$L$66,2,0),VLOOKUP($A6,'1.kolo'!$L$3:$O$66,4,0))</f>
        <v>29</v>
      </c>
      <c r="AH6" s="333">
        <f ca="1">IF(TYPE(VLOOKUP($A6,'1.kolo'!$L$3:$L$66,1,0))&gt;3,VLOOKUP($A6,'1.kolo'!$O$3:$Q$66,2,0),VLOOKUP($A6,'1.kolo'!$L$3:$N$66,2,0))</f>
        <v>1</v>
      </c>
      <c r="AI6" s="333">
        <f ca="1">IF(TYPE(VLOOKUP($A6,'1.kolo'!$L$3:$L$66,1,0))&gt;3,VLOOKUP($A6,'1.kolo'!$O$3:$Q$66,3,0),VLOOKUP($A6,'1.kolo'!$L$3:$N$66,3,0))</f>
        <v>3</v>
      </c>
      <c r="AJ6" s="333">
        <f t="shared" ca="1" si="19"/>
        <v>0</v>
      </c>
      <c r="AK6" s="333">
        <v>4</v>
      </c>
      <c r="AL6" s="442"/>
      <c r="AP6" s="333">
        <f ca="1">IF(TYPE(VLOOKUP($A6,'2.kolo'!$L$3:$L$66,1,0))&gt;3,IF(TYPE(VLOOKUP($A6,'2.kolo'!$K$3:$L$66,2,0))&gt;3,0,VLOOKUP($A6,'2.kolo'!$K$3:$L$66,2,0)),VLOOKUP($A6,'2.kolo'!$L$3:$O$66,4,0))</f>
        <v>10</v>
      </c>
      <c r="AQ6" s="333">
        <f ca="1">IF(TYPE(VLOOKUP($A6,'2.kolo'!$L$3:$L$66,1,0))&gt;3,IF(TYPE(VLOOKUP($A6,'2.kolo'!$O$3:$Q$66,2,0))&gt;3,0,VLOOKUP($A6,'2.kolo'!$O$3:$Q$66,2,0)),VLOOKUP($A6,'2.kolo'!$L$3:$N$66,2,0))</f>
        <v>1</v>
      </c>
      <c r="AR6" s="333">
        <f ca="1">IF(TYPE(VLOOKUP($A6,'2.kolo'!$L$3:$L$66,1,0))&gt;3,IF(TYPE(VLOOKUP($A6,'2.kolo'!$O$3:$Q$66,3,0))&gt;3,0,VLOOKUP($A6,'2.kolo'!$O$3:$Q$66,3,0)),VLOOKUP($A6,'2.kolo'!$L$3:$N$66,3,0))</f>
        <v>2</v>
      </c>
      <c r="AS6" s="333">
        <f t="shared" ca="1" si="20"/>
        <v>0</v>
      </c>
      <c r="AT6" s="415">
        <v>23</v>
      </c>
      <c r="AU6" s="442" t="str">
        <f ca="1">IF(AT6="","",CONCATENATE(TEXT($O6,"0"),IF(Start.listina!$Y$5="","",TEXT(500+$P6,"000")),TEXT(999999*RAND(),"000000")))</f>
        <v>2046017</v>
      </c>
      <c r="AV6" s="333">
        <f t="shared" ca="1" si="3"/>
        <v>0</v>
      </c>
      <c r="AY6" s="333">
        <f ca="1">IF(TYPE(VLOOKUP($A6,'3.kolo'!$L$3:$L$66,1,0))&gt;3,IF(TYPE(VLOOKUP($A6,'3.kolo'!$K$3:$L$66,2,0))&gt;3,0,VLOOKUP($A6,'3.kolo'!$K$3:$L$66,2,0)),VLOOKUP($A6,'3.kolo'!$L$3:$O$66,4,0))</f>
        <v>3</v>
      </c>
      <c r="AZ6" s="333">
        <f ca="1">IF(TYPE(VLOOKUP($A6,'3.kolo'!$L$3:$L$66,1,0))&gt;3,IF(TYPE(VLOOKUP($A6,'3.kolo'!$O$3:$Q$66,2,0))&gt;3,0,VLOOKUP($A6,'3.kolo'!$O$3:$Q$66,2,0)),VLOOKUP($A6,'3.kolo'!$L$3:$N$66,2,0))</f>
        <v>0</v>
      </c>
      <c r="BA6" s="333">
        <f ca="1">IF(TYPE(VLOOKUP($A6,'3.kolo'!$L$3:$L$66,1,0))&gt;3,IF(TYPE(VLOOKUP($A6,'3.kolo'!$O$3:$Q$66,3,0))&gt;3,0,VLOOKUP($A6,'3.kolo'!$O$3:$Q$66,3,0)),VLOOKUP($A6,'3.kolo'!$L$3:$N$66,3,0))</f>
        <v>-3</v>
      </c>
      <c r="BB6" s="333">
        <f t="shared" ca="1" si="21"/>
        <v>0</v>
      </c>
      <c r="BC6" s="415">
        <v>11</v>
      </c>
      <c r="BD6" s="442" t="str">
        <f ca="1">IF(BC6="","",CONCATENATE(TEXT($O6,"0"),IF(Start.listina!$Y$5="","",TEXT(500+$P6,"000")),TEXT(999999*RAND(),"000000")))</f>
        <v>2204960</v>
      </c>
      <c r="BE6" s="333">
        <f t="shared" ca="1" si="4"/>
        <v>0</v>
      </c>
      <c r="BH6" s="333">
        <f ca="1">IF(TYPE(VLOOKUP($A6,'4.kolo'!$L$3:$L$66,1,0))&gt;3,IF(TYPE(VLOOKUP($A6,'4.kolo'!$K$3:$L$66,2,0))&gt;3,0,VLOOKUP($A6,'4.kolo'!$K$3:$L$66,2,0)),VLOOKUP($A6,'4.kolo'!$L$3:$O$66,4,0))</f>
        <v>1</v>
      </c>
      <c r="BI6" s="333">
        <f ca="1">IF(TYPE(VLOOKUP($A6,'4.kolo'!$L$3:$L$66,1,0))&gt;3,IF(TYPE(VLOOKUP($A6,'4.kolo'!$O$3:$Q$66,2,0))&gt;3,0,VLOOKUP($A6,'4.kolo'!$O$3:$Q$66,2,0)),VLOOKUP($A6,'4.kolo'!$L$3:$N$66,2,0))</f>
        <v>0</v>
      </c>
      <c r="BJ6" s="333">
        <f ca="1">IF(TYPE(VLOOKUP($A6,'4.kolo'!$L$3:$L$66,1,0))&gt;3,IF(TYPE(VLOOKUP($A6,'4.kolo'!$O$3:$Q$66,3,0))&gt;3,0,VLOOKUP($A6,'4.kolo'!$O$3:$Q$66,3,0)),VLOOKUP($A6,'4.kolo'!$L$3:$N$66,3,0))</f>
        <v>-3</v>
      </c>
      <c r="BK6" s="333">
        <f t="shared" ca="1" si="22"/>
        <v>0</v>
      </c>
      <c r="BL6" s="415">
        <v>12</v>
      </c>
      <c r="BM6" s="442" t="str">
        <f ca="1">IF(BL6="","",CONCATENATE(TEXT($O6,"0"),IF(Start.listina!$Y$5="","",TEXT(500+$P6,"000")),TEXT(999999*RAND(),"000000")))</f>
        <v>2112250</v>
      </c>
      <c r="BN6" s="333">
        <f t="shared" ca="1" si="5"/>
        <v>0</v>
      </c>
      <c r="BQ6" s="333">
        <f ca="1">IF(TYPE(VLOOKUP($A6,'5.kolo'!$L$3:$L$66,1,0))&gt;3,IF(TYPE(VLOOKUP($A6,'5.kolo'!$K$3:$L$66,2,0))&gt;3,0,VLOOKUP($A6,'5.kolo'!$K$3:$L$66,2,0)),VLOOKUP($A6,'5.kolo'!$L$3:$O$66,4,0))</f>
        <v>0</v>
      </c>
      <c r="BR6" s="333">
        <f ca="1">IF(TYPE(VLOOKUP($A6,'5.kolo'!$L$3:$L$66,1,0))&gt;3,IF(TYPE(VLOOKUP($A6,'5.kolo'!$O$3:$Q$66,2,0))&gt;3,0,VLOOKUP($A6,'5.kolo'!$O$3:$Q$66,2,0)),VLOOKUP($A6,'5.kolo'!$L$3:$N$66,2,0))</f>
        <v>0</v>
      </c>
      <c r="BS6" s="333">
        <f ca="1">IF(TYPE(VLOOKUP($A6,'5.kolo'!$L$3:$L$66,1,0))&gt;3,IF(TYPE(VLOOKUP($A6,'5.kolo'!$O$3:$Q$66,3,0))&gt;3,0,VLOOKUP($A6,'5.kolo'!$O$3:$Q$66,3,0)),VLOOKUP($A6,'5.kolo'!$L$3:$N$66,3,0))</f>
        <v>0</v>
      </c>
      <c r="BT6" s="333">
        <f t="shared" ca="1" si="23"/>
        <v>0</v>
      </c>
      <c r="BU6" s="415"/>
      <c r="BV6" s="442" t="str">
        <f ca="1">IF(BU6="","",CONCATENATE(TEXT($O6,"0"),IF(Start.listina!$Y$5="","",TEXT(500+$P6,"000")),TEXT(999999*RAND(),"000000")))</f>
        <v/>
      </c>
      <c r="BW6" s="333">
        <f t="shared" ca="1" si="6"/>
        <v>0</v>
      </c>
      <c r="BZ6" s="333">
        <f ca="1">IF(TYPE(VLOOKUP($A6,'6.kolo'!$L$3:$L$66,1,0))&gt;3,IF(TYPE(VLOOKUP($A6,'6.kolo'!$K$3:$L$66,2,0))&gt;3,0,VLOOKUP($A6,'6.kolo'!$K$3:$L$66,2,0)),VLOOKUP($A6,'6.kolo'!$L$3:$O$66,4,0))</f>
        <v>0</v>
      </c>
      <c r="CA6" s="333">
        <f ca="1">IF(TYPE(VLOOKUP($A6,'6.kolo'!$L$3:$L$66,1,0))&gt;3,IF(TYPE(VLOOKUP($A6,'6.kolo'!$O$3:$Q$66,2,0))&gt;3,0,VLOOKUP($A6,'6.kolo'!$O$3:$Q$66,2,0)),VLOOKUP($A6,'6.kolo'!$L$3:$N$66,2,0))</f>
        <v>0</v>
      </c>
      <c r="CB6" s="333">
        <f ca="1">IF(TYPE(VLOOKUP($A6,'6.kolo'!$L$3:$L$66,1,0))&gt;3,IF(TYPE(VLOOKUP($A6,'6.kolo'!$O$3:$Q$66,3,0))&gt;3,0,VLOOKUP($A6,'6.kolo'!$O$3:$Q$66,3,0)),VLOOKUP($A6,'6.kolo'!$L$3:$N$66,3,0))</f>
        <v>0</v>
      </c>
      <c r="CC6" s="333">
        <f t="shared" ca="1" si="24"/>
        <v>0</v>
      </c>
      <c r="CD6" s="415"/>
      <c r="CE6" s="442" t="str">
        <f ca="1">IF(CD6="","",CONCATENATE(TEXT($O6,"0"),IF(Start.listina!$Y$5="","",TEXT(500+$P6,"000")),TEXT(999999*RAND(),"000000")))</f>
        <v/>
      </c>
      <c r="CF6" s="333">
        <f t="shared" ca="1" si="7"/>
        <v>0</v>
      </c>
    </row>
    <row r="7" spans="1:84" x14ac:dyDescent="0.25">
      <c r="A7" s="333">
        <f>IF(OR(Start.listina!H15&gt;Start.listina!$K$7,Start.listina!G15=TRUE),"",Start.listina!H15)</f>
        <v>5</v>
      </c>
      <c r="B7" s="333">
        <f>IF($A7&gt;Start.listina!$K$7,"",INT(($A7-1)/Start.listina!$O$7)+1)</f>
        <v>1</v>
      </c>
      <c r="C7" s="439" t="str">
        <f>IF(OR(Start.listina!H15&gt;Start.listina!$K$7,Start.listina!G15=TRUE)," - ",Start.listina!AL15)</f>
        <v>5 PK Osika Plzeň - Valenz Jan</v>
      </c>
      <c r="D7" s="333">
        <f>IF(OR(A7&gt;Start.listina!$K$7,TYPE(VLOOKUP(A7,$V$3:$X$130,3,0))&gt;3),"",VLOOKUP(A7,$V$3:$X$130,3,0))</f>
        <v>31</v>
      </c>
      <c r="E7" s="440">
        <f ca="1">IF(A7&gt;Start.listina!$K$7,"",IF(MIN(F7:K7)&gt;Start.listina!$Y$4,D7,MIN(F7:K7)))</f>
        <v>31</v>
      </c>
      <c r="F7" s="333">
        <f ca="1">IF(TYPE(VLOOKUP(C7,Konečné_pořadí_1_16!$B$2:$D$17,3,0))&lt;4,VLOOKUP(C7,Konečné_pořadí_1_16!$B$2:$D$17,3,0),999)</f>
        <v>999</v>
      </c>
      <c r="G7" s="333">
        <f ca="1">IF(TYPE(VLOOKUP(C7,'KO64'!$D$4:$D$129,1,0))&lt;4,64,999)</f>
        <v>999</v>
      </c>
      <c r="H7" s="333">
        <f ca="1">IF(TYPE(VLOOKUP(C7,'KO32'!$D$4:$D$65,1,0))&lt;4,32,999)</f>
        <v>999</v>
      </c>
      <c r="I7" s="333">
        <f ca="1">IF(TYPE(VLOOKUP(C7,'KO16'!$D$4:$D$33,1,0))&lt;4,16,999)</f>
        <v>999</v>
      </c>
      <c r="J7" s="333">
        <f ca="1">IF(TYPE(VLOOKUP(C7,'KO8'!$D$4:$D$17,1,0))&lt;4,8,999)</f>
        <v>999</v>
      </c>
      <c r="K7" s="333">
        <f ca="1">IF(TYPE(VLOOKUP(C7,'KO4'!$D$4:$D$9,1,0))&lt;4,4,999)</f>
        <v>999</v>
      </c>
      <c r="M7" s="334">
        <v>5</v>
      </c>
      <c r="O7" s="333">
        <f t="shared" ca="1" si="8"/>
        <v>2</v>
      </c>
      <c r="P7" s="333">
        <f t="shared" ca="1" si="9"/>
        <v>-7</v>
      </c>
      <c r="Q7" s="333">
        <f t="shared" ca="1" si="0"/>
        <v>6</v>
      </c>
      <c r="R7" s="333">
        <f t="shared" ca="1" si="1"/>
        <v>1</v>
      </c>
      <c r="S7" s="333">
        <f t="shared" ca="1" si="10"/>
        <v>34</v>
      </c>
      <c r="T7" s="333">
        <f t="shared" ca="1" si="11"/>
        <v>0</v>
      </c>
      <c r="U7" s="415">
        <f t="shared" si="25"/>
        <v>5</v>
      </c>
      <c r="V7" s="415">
        <v>45</v>
      </c>
      <c r="W7" s="441" t="str">
        <f ca="1">IF($V7="","",CONCATENATE(TEXT($O7,"0"),IF(Start.listina!$Y$5="","",TEXT(500+$P7,"0000")),IF(Start.listina!$Y$6="","",CHOOSE(Start.listina!$Y$7,TEXT($Q7,"00"),CONCATENATE(TEXT($Q7,"00"),TEXT($S7,"000")), TEXT($R7,"00"))),TEXT(500+$P7,"0000"),IF(Start.listina!$Y$8="","",TEXT($T7,"0")),TEXT(999999*RAND(),"000000")))</f>
        <v>2060340493407846</v>
      </c>
      <c r="X7" s="417">
        <f t="shared" si="12"/>
        <v>5</v>
      </c>
      <c r="Y7" s="415">
        <f t="shared" ca="1" si="2"/>
        <v>3</v>
      </c>
      <c r="Z7" s="333">
        <f t="shared" ca="1" si="13"/>
        <v>30</v>
      </c>
      <c r="AA7" s="333">
        <f t="shared" ca="1" si="14"/>
        <v>24</v>
      </c>
      <c r="AB7" s="333">
        <f t="shared" ca="1" si="15"/>
        <v>7</v>
      </c>
      <c r="AC7" s="333">
        <f t="shared" ca="1" si="16"/>
        <v>28</v>
      </c>
      <c r="AD7" s="333">
        <f t="shared" ca="1" si="17"/>
        <v>0</v>
      </c>
      <c r="AE7" s="333">
        <f t="shared" ca="1" si="18"/>
        <v>0</v>
      </c>
      <c r="AG7" s="333">
        <f ca="1">IF(TYPE(VLOOKUP($A7,'1.kolo'!$L$3:$L$66,1,0))&gt;3,VLOOKUP($A7,'1.kolo'!$K$3:$L$66,2,0),VLOOKUP($A7,'1.kolo'!$L$3:$O$66,4,0))</f>
        <v>30</v>
      </c>
      <c r="AH7" s="333">
        <f ca="1">IF(TYPE(VLOOKUP($A7,'1.kolo'!$L$3:$L$66,1,0))&gt;3,VLOOKUP($A7,'1.kolo'!$O$3:$Q$66,2,0),VLOOKUP($A7,'1.kolo'!$L$3:$N$66,2,0))</f>
        <v>1</v>
      </c>
      <c r="AI7" s="333">
        <f ca="1">IF(TYPE(VLOOKUP($A7,'1.kolo'!$L$3:$L$66,1,0))&gt;3,VLOOKUP($A7,'1.kolo'!$O$3:$Q$66,3,0),VLOOKUP($A7,'1.kolo'!$L$3:$N$66,3,0))</f>
        <v>3</v>
      </c>
      <c r="AJ7" s="333">
        <f t="shared" ca="1" si="19"/>
        <v>0</v>
      </c>
      <c r="AK7" s="333">
        <v>5</v>
      </c>
      <c r="AL7" s="442"/>
      <c r="AP7" s="333">
        <f ca="1">IF(TYPE(VLOOKUP($A7,'2.kolo'!$L$3:$L$66,1,0))&gt;3,IF(TYPE(VLOOKUP($A7,'2.kolo'!$K$3:$L$66,2,0))&gt;3,0,VLOOKUP($A7,'2.kolo'!$K$3:$L$66,2,0)),VLOOKUP($A7,'2.kolo'!$L$3:$O$66,4,0))</f>
        <v>24</v>
      </c>
      <c r="AQ7" s="333">
        <f ca="1">IF(TYPE(VLOOKUP($A7,'2.kolo'!$L$3:$L$66,1,0))&gt;3,IF(TYPE(VLOOKUP($A7,'2.kolo'!$O$3:$Q$66,2,0))&gt;3,0,VLOOKUP($A7,'2.kolo'!$O$3:$Q$66,2,0)),VLOOKUP($A7,'2.kolo'!$L$3:$N$66,2,0))</f>
        <v>0</v>
      </c>
      <c r="AR7" s="333">
        <f ca="1">IF(TYPE(VLOOKUP($A7,'2.kolo'!$L$3:$L$66,1,0))&gt;3,IF(TYPE(VLOOKUP($A7,'2.kolo'!$O$3:$Q$66,3,0))&gt;3,0,VLOOKUP($A7,'2.kolo'!$O$3:$Q$66,3,0)),VLOOKUP($A7,'2.kolo'!$L$3:$N$66,3,0))</f>
        <v>-12</v>
      </c>
      <c r="AS7" s="333">
        <f t="shared" ca="1" si="20"/>
        <v>0</v>
      </c>
      <c r="AT7" s="415">
        <v>12</v>
      </c>
      <c r="AU7" s="442" t="str">
        <f ca="1">IF(AT7="","",CONCATENATE(TEXT($O7,"0"),IF(Start.listina!$Y$5="","",TEXT(500+$P7,"000")),TEXT(999999*RAND(),"000000")))</f>
        <v>2644820</v>
      </c>
      <c r="AV7" s="333">
        <f t="shared" ca="1" si="3"/>
        <v>0</v>
      </c>
      <c r="AY7" s="333">
        <f ca="1">IF(TYPE(VLOOKUP($A7,'3.kolo'!$L$3:$L$66,1,0))&gt;3,IF(TYPE(VLOOKUP($A7,'3.kolo'!$K$3:$L$66,2,0))&gt;3,0,VLOOKUP($A7,'3.kolo'!$K$3:$L$66,2,0)),VLOOKUP($A7,'3.kolo'!$L$3:$O$66,4,0))</f>
        <v>7</v>
      </c>
      <c r="AZ7" s="333">
        <f ca="1">IF(TYPE(VLOOKUP($A7,'3.kolo'!$L$3:$L$66,1,0))&gt;3,IF(TYPE(VLOOKUP($A7,'3.kolo'!$O$3:$Q$66,2,0))&gt;3,0,VLOOKUP($A7,'3.kolo'!$O$3:$Q$66,2,0)),VLOOKUP($A7,'3.kolo'!$L$3:$N$66,2,0))</f>
        <v>0</v>
      </c>
      <c r="BA7" s="333">
        <f ca="1">IF(TYPE(VLOOKUP($A7,'3.kolo'!$L$3:$L$66,1,0))&gt;3,IF(TYPE(VLOOKUP($A7,'3.kolo'!$O$3:$Q$66,3,0))&gt;3,0,VLOOKUP($A7,'3.kolo'!$O$3:$Q$66,3,0)),VLOOKUP($A7,'3.kolo'!$L$3:$N$66,3,0))</f>
        <v>-7</v>
      </c>
      <c r="BB7" s="333">
        <f t="shared" ca="1" si="21"/>
        <v>0</v>
      </c>
      <c r="BC7" s="415">
        <v>9</v>
      </c>
      <c r="BD7" s="442" t="str">
        <f ca="1">IF(BC7="","",CONCATENATE(TEXT($O7,"0"),IF(Start.listina!$Y$5="","",TEXT(500+$P7,"000")),TEXT(999999*RAND(),"000000")))</f>
        <v>2937495</v>
      </c>
      <c r="BE7" s="333">
        <f t="shared" ca="1" si="4"/>
        <v>0</v>
      </c>
      <c r="BH7" s="333">
        <f ca="1">IF(TYPE(VLOOKUP($A7,'4.kolo'!$L$3:$L$66,1,0))&gt;3,IF(TYPE(VLOOKUP($A7,'4.kolo'!$K$3:$L$66,2,0))&gt;3,0,VLOOKUP($A7,'4.kolo'!$K$3:$L$66,2,0)),VLOOKUP($A7,'4.kolo'!$L$3:$O$66,4,0))</f>
        <v>28</v>
      </c>
      <c r="BI7" s="333">
        <f ca="1">IF(TYPE(VLOOKUP($A7,'4.kolo'!$L$3:$L$66,1,0))&gt;3,IF(TYPE(VLOOKUP($A7,'4.kolo'!$O$3:$Q$66,2,0))&gt;3,0,VLOOKUP($A7,'4.kolo'!$O$3:$Q$66,2,0)),VLOOKUP($A7,'4.kolo'!$L$3:$N$66,2,0))</f>
        <v>1</v>
      </c>
      <c r="BJ7" s="333">
        <f ca="1">IF(TYPE(VLOOKUP($A7,'4.kolo'!$L$3:$L$66,1,0))&gt;3,IF(TYPE(VLOOKUP($A7,'4.kolo'!$O$3:$Q$66,3,0))&gt;3,0,VLOOKUP($A7,'4.kolo'!$O$3:$Q$66,3,0)),VLOOKUP($A7,'4.kolo'!$L$3:$N$66,3,0))</f>
        <v>9</v>
      </c>
      <c r="BK7" s="333">
        <f t="shared" ca="1" si="22"/>
        <v>0</v>
      </c>
      <c r="BL7" s="415">
        <v>19</v>
      </c>
      <c r="BM7" s="442" t="str">
        <f ca="1">IF(BL7="","",CONCATENATE(TEXT($O7,"0"),IF(Start.listina!$Y$5="","",TEXT(500+$P7,"000")),TEXT(999999*RAND(),"000000")))</f>
        <v>2200278</v>
      </c>
      <c r="BN7" s="333">
        <f t="shared" ca="1" si="5"/>
        <v>0</v>
      </c>
      <c r="BQ7" s="333">
        <f ca="1">IF(TYPE(VLOOKUP($A7,'5.kolo'!$L$3:$L$66,1,0))&gt;3,IF(TYPE(VLOOKUP($A7,'5.kolo'!$K$3:$L$66,2,0))&gt;3,0,VLOOKUP($A7,'5.kolo'!$K$3:$L$66,2,0)),VLOOKUP($A7,'5.kolo'!$L$3:$O$66,4,0))</f>
        <v>0</v>
      </c>
      <c r="BR7" s="333">
        <f ca="1">IF(TYPE(VLOOKUP($A7,'5.kolo'!$L$3:$L$66,1,0))&gt;3,IF(TYPE(VLOOKUP($A7,'5.kolo'!$O$3:$Q$66,2,0))&gt;3,0,VLOOKUP($A7,'5.kolo'!$O$3:$Q$66,2,0)),VLOOKUP($A7,'5.kolo'!$L$3:$N$66,2,0))</f>
        <v>0</v>
      </c>
      <c r="BS7" s="333">
        <f ca="1">IF(TYPE(VLOOKUP($A7,'5.kolo'!$L$3:$L$66,1,0))&gt;3,IF(TYPE(VLOOKUP($A7,'5.kolo'!$O$3:$Q$66,3,0))&gt;3,0,VLOOKUP($A7,'5.kolo'!$O$3:$Q$66,3,0)),VLOOKUP($A7,'5.kolo'!$L$3:$N$66,3,0))</f>
        <v>0</v>
      </c>
      <c r="BT7" s="333">
        <f t="shared" ca="1" si="23"/>
        <v>0</v>
      </c>
      <c r="BU7" s="415"/>
      <c r="BV7" s="442" t="str">
        <f ca="1">IF(BU7="","",CONCATENATE(TEXT($O7,"0"),IF(Start.listina!$Y$5="","",TEXT(500+$P7,"000")),TEXT(999999*RAND(),"000000")))</f>
        <v/>
      </c>
      <c r="BW7" s="333">
        <f t="shared" ca="1" si="6"/>
        <v>0</v>
      </c>
      <c r="BZ7" s="333">
        <f ca="1">IF(TYPE(VLOOKUP($A7,'6.kolo'!$L$3:$L$66,1,0))&gt;3,IF(TYPE(VLOOKUP($A7,'6.kolo'!$K$3:$L$66,2,0))&gt;3,0,VLOOKUP($A7,'6.kolo'!$K$3:$L$66,2,0)),VLOOKUP($A7,'6.kolo'!$L$3:$O$66,4,0))</f>
        <v>0</v>
      </c>
      <c r="CA7" s="333">
        <f ca="1">IF(TYPE(VLOOKUP($A7,'6.kolo'!$L$3:$L$66,1,0))&gt;3,IF(TYPE(VLOOKUP($A7,'6.kolo'!$O$3:$Q$66,2,0))&gt;3,0,VLOOKUP($A7,'6.kolo'!$O$3:$Q$66,2,0)),VLOOKUP($A7,'6.kolo'!$L$3:$N$66,2,0))</f>
        <v>0</v>
      </c>
      <c r="CB7" s="333">
        <f ca="1">IF(TYPE(VLOOKUP($A7,'6.kolo'!$L$3:$L$66,1,0))&gt;3,IF(TYPE(VLOOKUP($A7,'6.kolo'!$O$3:$Q$66,3,0))&gt;3,0,VLOOKUP($A7,'6.kolo'!$O$3:$Q$66,3,0)),VLOOKUP($A7,'6.kolo'!$L$3:$N$66,3,0))</f>
        <v>0</v>
      </c>
      <c r="CC7" s="333">
        <f t="shared" ca="1" si="24"/>
        <v>0</v>
      </c>
      <c r="CD7" s="415"/>
      <c r="CE7" s="442" t="str">
        <f ca="1">IF(CD7="","",CONCATENATE(TEXT($O7,"0"),IF(Start.listina!$Y$5="","",TEXT(500+$P7,"000")),TEXT(999999*RAND(),"000000")))</f>
        <v/>
      </c>
      <c r="CF7" s="333">
        <f t="shared" ca="1" si="7"/>
        <v>0</v>
      </c>
    </row>
    <row r="8" spans="1:84" x14ac:dyDescent="0.25">
      <c r="A8" s="333">
        <f>IF(OR(Start.listina!H16&gt;Start.listina!$K$7,Start.listina!G16=TRUE),"",Start.listina!H16)</f>
        <v>6</v>
      </c>
      <c r="B8" s="333">
        <f>IF($A8&gt;Start.listina!$K$7,"",INT(($A8-1)/Start.listina!$O$7)+1)</f>
        <v>1</v>
      </c>
      <c r="C8" s="439" t="str">
        <f>IF(OR(Start.listina!H16&gt;Start.listina!$K$7,Start.listina!G16=TRUE)," - ",Start.listina!AL16)</f>
        <v>6 SK Sahara Vědomice - Demčíková Jiřina</v>
      </c>
      <c r="D8" s="333">
        <f>IF(OR(A8&gt;Start.listina!$K$7,TYPE(VLOOKUP(A8,$V$3:$X$130,3,0))&gt;3),"",VLOOKUP(A8,$V$3:$X$130,3,0))</f>
        <v>1</v>
      </c>
      <c r="E8" s="440">
        <f ca="1">IF(A8&gt;Start.listina!$K$7,"",IF(MIN(F8:K8)&gt;Start.listina!$Y$4,D8,MIN(F8:K8)))</f>
        <v>5</v>
      </c>
      <c r="F8" s="333">
        <f ca="1">IF(TYPE(VLOOKUP(C8,Konečné_pořadí_1_16!$B$2:$D$17,3,0))&lt;4,VLOOKUP(C8,Konečné_pořadí_1_16!$B$2:$D$17,3,0),999)</f>
        <v>5</v>
      </c>
      <c r="G8" s="333">
        <f ca="1">IF(TYPE(VLOOKUP(C8,'KO64'!$D$4:$D$129,1,0))&lt;4,64,999)</f>
        <v>64</v>
      </c>
      <c r="H8" s="333">
        <f ca="1">IF(TYPE(VLOOKUP(C8,'KO32'!$D$4:$D$65,1,0))&lt;4,32,999)</f>
        <v>32</v>
      </c>
      <c r="I8" s="333">
        <f ca="1">IF(TYPE(VLOOKUP(C8,'KO16'!$D$4:$D$33,1,0))&lt;4,16,999)</f>
        <v>16</v>
      </c>
      <c r="J8" s="333">
        <f ca="1">IF(TYPE(VLOOKUP(C8,'KO8'!$D$4:$D$17,1,0))&lt;4,8,999)</f>
        <v>8</v>
      </c>
      <c r="K8" s="333">
        <f ca="1">IF(TYPE(VLOOKUP(C8,'KO4'!$D$4:$D$9,1,0))&lt;4,4,999)</f>
        <v>999</v>
      </c>
      <c r="M8" s="334">
        <v>6</v>
      </c>
      <c r="O8" s="333">
        <f t="shared" ca="1" si="8"/>
        <v>4</v>
      </c>
      <c r="P8" s="333">
        <f t="shared" ca="1" si="9"/>
        <v>37</v>
      </c>
      <c r="Q8" s="333">
        <f t="shared" ca="1" si="0"/>
        <v>10</v>
      </c>
      <c r="R8" s="333">
        <f t="shared" ca="1" si="1"/>
        <v>10</v>
      </c>
      <c r="S8" s="333">
        <f t="shared" ca="1" si="10"/>
        <v>40</v>
      </c>
      <c r="T8" s="333">
        <f t="shared" ca="1" si="11"/>
        <v>0</v>
      </c>
      <c r="U8" s="415">
        <f t="shared" si="25"/>
        <v>6</v>
      </c>
      <c r="V8" s="415">
        <v>22</v>
      </c>
      <c r="W8" s="441" t="str">
        <f ca="1">IF($V8="","",CONCATENATE(TEXT($O8,"0"),IF(Start.listina!$Y$5="","",TEXT(500+$P8,"0000")),IF(Start.listina!$Y$6="","",CHOOSE(Start.listina!$Y$7,TEXT($Q8,"00"),CONCATENATE(TEXT($Q8,"00"),TEXT($S8,"000")), TEXT($R8,"00"))),TEXT(500+$P8,"0000"),IF(Start.listina!$Y$8="","",TEXT($T8,"0")),TEXT(999999*RAND(),"000000")))</f>
        <v>4100400537609653</v>
      </c>
      <c r="X8" s="417">
        <f t="shared" si="12"/>
        <v>6</v>
      </c>
      <c r="Y8" s="415">
        <f t="shared" ca="1" si="2"/>
        <v>3</v>
      </c>
      <c r="Z8" s="333">
        <f t="shared" ca="1" si="13"/>
        <v>31</v>
      </c>
      <c r="AA8" s="333">
        <f t="shared" ca="1" si="14"/>
        <v>50</v>
      </c>
      <c r="AB8" s="333">
        <f t="shared" ca="1" si="15"/>
        <v>45</v>
      </c>
      <c r="AC8" s="333">
        <f t="shared" ca="1" si="16"/>
        <v>12</v>
      </c>
      <c r="AD8" s="333">
        <f t="shared" ca="1" si="17"/>
        <v>0</v>
      </c>
      <c r="AE8" s="333">
        <f t="shared" ca="1" si="18"/>
        <v>0</v>
      </c>
      <c r="AG8" s="333">
        <f ca="1">IF(TYPE(VLOOKUP($A8,'1.kolo'!$L$3:$L$66,1,0))&gt;3,VLOOKUP($A8,'1.kolo'!$K$3:$L$66,2,0),VLOOKUP($A8,'1.kolo'!$L$3:$O$66,4,0))</f>
        <v>31</v>
      </c>
      <c r="AH8" s="333">
        <f ca="1">IF(TYPE(VLOOKUP($A8,'1.kolo'!$L$3:$L$66,1,0))&gt;3,VLOOKUP($A8,'1.kolo'!$O$3:$Q$66,2,0),VLOOKUP($A8,'1.kolo'!$L$3:$N$66,2,0))</f>
        <v>1</v>
      </c>
      <c r="AI8" s="333">
        <f ca="1">IF(TYPE(VLOOKUP($A8,'1.kolo'!$L$3:$L$66,1,0))&gt;3,VLOOKUP($A8,'1.kolo'!$O$3:$Q$66,3,0),VLOOKUP($A8,'1.kolo'!$L$3:$N$66,3,0))</f>
        <v>10</v>
      </c>
      <c r="AJ8" s="333">
        <f t="shared" ca="1" si="19"/>
        <v>0</v>
      </c>
      <c r="AK8" s="333">
        <v>6</v>
      </c>
      <c r="AL8" s="442"/>
      <c r="AP8" s="333">
        <f ca="1">IF(TYPE(VLOOKUP($A8,'2.kolo'!$L$3:$L$66,1,0))&gt;3,IF(TYPE(VLOOKUP($A8,'2.kolo'!$K$3:$L$66,2,0))&gt;3,0,VLOOKUP($A8,'2.kolo'!$K$3:$L$66,2,0)),VLOOKUP($A8,'2.kolo'!$L$3:$O$66,4,0))</f>
        <v>50</v>
      </c>
      <c r="AQ8" s="333">
        <f ca="1">IF(TYPE(VLOOKUP($A8,'2.kolo'!$L$3:$L$66,1,0))&gt;3,IF(TYPE(VLOOKUP($A8,'2.kolo'!$O$3:$Q$66,2,0))&gt;3,0,VLOOKUP($A8,'2.kolo'!$O$3:$Q$66,2,0)),VLOOKUP($A8,'2.kolo'!$L$3:$N$66,2,0))</f>
        <v>1</v>
      </c>
      <c r="AR8" s="333">
        <f ca="1">IF(TYPE(VLOOKUP($A8,'2.kolo'!$L$3:$L$66,1,0))&gt;3,IF(TYPE(VLOOKUP($A8,'2.kolo'!$O$3:$Q$66,3,0))&gt;3,0,VLOOKUP($A8,'2.kolo'!$O$3:$Q$66,3,0)),VLOOKUP($A8,'2.kolo'!$L$3:$N$66,3,0))</f>
        <v>9</v>
      </c>
      <c r="AS8" s="333">
        <f t="shared" ca="1" si="20"/>
        <v>0</v>
      </c>
      <c r="AT8" s="415">
        <v>51</v>
      </c>
      <c r="AU8" s="442" t="str">
        <f ca="1">IF(AT8="","",CONCATENATE(TEXT($O8,"0"),IF(Start.listina!$Y$5="","",TEXT(500+$P8,"000")),TEXT(999999*RAND(),"000000")))</f>
        <v>4216189</v>
      </c>
      <c r="AV8" s="333">
        <f t="shared" ca="1" si="3"/>
        <v>0</v>
      </c>
      <c r="AY8" s="333">
        <f ca="1">IF(TYPE(VLOOKUP($A8,'3.kolo'!$L$3:$L$66,1,0))&gt;3,IF(TYPE(VLOOKUP($A8,'3.kolo'!$K$3:$L$66,2,0))&gt;3,0,VLOOKUP($A8,'3.kolo'!$K$3:$L$66,2,0)),VLOOKUP($A8,'3.kolo'!$L$3:$O$66,4,0))</f>
        <v>45</v>
      </c>
      <c r="AZ8" s="333">
        <f ca="1">IF(TYPE(VLOOKUP($A8,'3.kolo'!$L$3:$L$66,1,0))&gt;3,IF(TYPE(VLOOKUP($A8,'3.kolo'!$O$3:$Q$66,2,0))&gt;3,0,VLOOKUP($A8,'3.kolo'!$O$3:$Q$66,2,0)),VLOOKUP($A8,'3.kolo'!$L$3:$N$66,2,0))</f>
        <v>1</v>
      </c>
      <c r="BA8" s="333">
        <f ca="1">IF(TYPE(VLOOKUP($A8,'3.kolo'!$L$3:$L$66,1,0))&gt;3,IF(TYPE(VLOOKUP($A8,'3.kolo'!$O$3:$Q$66,3,0))&gt;3,0,VLOOKUP($A8,'3.kolo'!$O$3:$Q$66,3,0)),VLOOKUP($A8,'3.kolo'!$L$3:$N$66,3,0))</f>
        <v>10</v>
      </c>
      <c r="BB8" s="333">
        <f t="shared" ca="1" si="21"/>
        <v>0</v>
      </c>
      <c r="BC8" s="415">
        <v>2</v>
      </c>
      <c r="BD8" s="442" t="str">
        <f ca="1">IF(BC8="","",CONCATENATE(TEXT($O8,"0"),IF(Start.listina!$Y$5="","",TEXT(500+$P8,"000")),TEXT(999999*RAND(),"000000")))</f>
        <v>4193664</v>
      </c>
      <c r="BE8" s="333">
        <f t="shared" ca="1" si="4"/>
        <v>0</v>
      </c>
      <c r="BH8" s="333">
        <f ca="1">IF(TYPE(VLOOKUP($A8,'4.kolo'!$L$3:$L$66,1,0))&gt;3,IF(TYPE(VLOOKUP($A8,'4.kolo'!$K$3:$L$66,2,0))&gt;3,0,VLOOKUP($A8,'4.kolo'!$K$3:$L$66,2,0)),VLOOKUP($A8,'4.kolo'!$L$3:$O$66,4,0))</f>
        <v>12</v>
      </c>
      <c r="BI8" s="333">
        <f ca="1">IF(TYPE(VLOOKUP($A8,'4.kolo'!$L$3:$L$66,1,0))&gt;3,IF(TYPE(VLOOKUP($A8,'4.kolo'!$O$3:$Q$66,2,0))&gt;3,0,VLOOKUP($A8,'4.kolo'!$O$3:$Q$66,2,0)),VLOOKUP($A8,'4.kolo'!$L$3:$N$66,2,0))</f>
        <v>1</v>
      </c>
      <c r="BJ8" s="333">
        <f ca="1">IF(TYPE(VLOOKUP($A8,'4.kolo'!$L$3:$L$66,1,0))&gt;3,IF(TYPE(VLOOKUP($A8,'4.kolo'!$O$3:$Q$66,3,0))&gt;3,0,VLOOKUP($A8,'4.kolo'!$O$3:$Q$66,3,0)),VLOOKUP($A8,'4.kolo'!$L$3:$N$66,3,0))</f>
        <v>8</v>
      </c>
      <c r="BK8" s="333">
        <f t="shared" ca="1" si="22"/>
        <v>0</v>
      </c>
      <c r="BL8" s="415">
        <v>2</v>
      </c>
      <c r="BM8" s="442" t="str">
        <f ca="1">IF(BL8="","",CONCATENATE(TEXT($O8,"0"),IF(Start.listina!$Y$5="","",TEXT(500+$P8,"000")),TEXT(999999*RAND(),"000000")))</f>
        <v>4543079</v>
      </c>
      <c r="BN8" s="333">
        <f t="shared" ca="1" si="5"/>
        <v>0</v>
      </c>
      <c r="BQ8" s="333">
        <f ca="1">IF(TYPE(VLOOKUP($A8,'5.kolo'!$L$3:$L$66,1,0))&gt;3,IF(TYPE(VLOOKUP($A8,'5.kolo'!$K$3:$L$66,2,0))&gt;3,0,VLOOKUP($A8,'5.kolo'!$K$3:$L$66,2,0)),VLOOKUP($A8,'5.kolo'!$L$3:$O$66,4,0))</f>
        <v>0</v>
      </c>
      <c r="BR8" s="333">
        <f ca="1">IF(TYPE(VLOOKUP($A8,'5.kolo'!$L$3:$L$66,1,0))&gt;3,IF(TYPE(VLOOKUP($A8,'5.kolo'!$O$3:$Q$66,2,0))&gt;3,0,VLOOKUP($A8,'5.kolo'!$O$3:$Q$66,2,0)),VLOOKUP($A8,'5.kolo'!$L$3:$N$66,2,0))</f>
        <v>0</v>
      </c>
      <c r="BS8" s="333">
        <f ca="1">IF(TYPE(VLOOKUP($A8,'5.kolo'!$L$3:$L$66,1,0))&gt;3,IF(TYPE(VLOOKUP($A8,'5.kolo'!$O$3:$Q$66,3,0))&gt;3,0,VLOOKUP($A8,'5.kolo'!$O$3:$Q$66,3,0)),VLOOKUP($A8,'5.kolo'!$L$3:$N$66,3,0))</f>
        <v>0</v>
      </c>
      <c r="BT8" s="333">
        <f t="shared" ca="1" si="23"/>
        <v>0</v>
      </c>
      <c r="BU8" s="415"/>
      <c r="BV8" s="442" t="str">
        <f ca="1">IF(BU8="","",CONCATENATE(TEXT($O8,"0"),IF(Start.listina!$Y$5="","",TEXT(500+$P8,"000")),TEXT(999999*RAND(),"000000")))</f>
        <v/>
      </c>
      <c r="BW8" s="333">
        <f t="shared" ca="1" si="6"/>
        <v>0</v>
      </c>
      <c r="BZ8" s="333">
        <f ca="1">IF(TYPE(VLOOKUP($A8,'6.kolo'!$L$3:$L$66,1,0))&gt;3,IF(TYPE(VLOOKUP($A8,'6.kolo'!$K$3:$L$66,2,0))&gt;3,0,VLOOKUP($A8,'6.kolo'!$K$3:$L$66,2,0)),VLOOKUP($A8,'6.kolo'!$L$3:$O$66,4,0))</f>
        <v>0</v>
      </c>
      <c r="CA8" s="333">
        <f ca="1">IF(TYPE(VLOOKUP($A8,'6.kolo'!$L$3:$L$66,1,0))&gt;3,IF(TYPE(VLOOKUP($A8,'6.kolo'!$O$3:$Q$66,2,0))&gt;3,0,VLOOKUP($A8,'6.kolo'!$O$3:$Q$66,2,0)),VLOOKUP($A8,'6.kolo'!$L$3:$N$66,2,0))</f>
        <v>0</v>
      </c>
      <c r="CB8" s="333">
        <f ca="1">IF(TYPE(VLOOKUP($A8,'6.kolo'!$L$3:$L$66,1,0))&gt;3,IF(TYPE(VLOOKUP($A8,'6.kolo'!$O$3:$Q$66,3,0))&gt;3,0,VLOOKUP($A8,'6.kolo'!$O$3:$Q$66,3,0)),VLOOKUP($A8,'6.kolo'!$L$3:$N$66,3,0))</f>
        <v>0</v>
      </c>
      <c r="CC8" s="333">
        <f t="shared" ca="1" si="24"/>
        <v>0</v>
      </c>
      <c r="CD8" s="415"/>
      <c r="CE8" s="442" t="str">
        <f ca="1">IF(CD8="","",CONCATENATE(TEXT($O8,"0"),IF(Start.listina!$Y$5="","",TEXT(500+$P8,"000")),TEXT(999999*RAND(),"000000")))</f>
        <v/>
      </c>
      <c r="CF8" s="333">
        <f t="shared" ca="1" si="7"/>
        <v>0</v>
      </c>
    </row>
    <row r="9" spans="1:84" x14ac:dyDescent="0.25">
      <c r="A9" s="333">
        <f>IF(OR(Start.listina!H17&gt;Start.listina!$K$7,Start.listina!G17=TRUE),"",Start.listina!H17)</f>
        <v>7</v>
      </c>
      <c r="B9" s="333">
        <f>IF($A9&gt;Start.listina!$K$7,"",INT(($A9-1)/Start.listina!$O$7)+1)</f>
        <v>1</v>
      </c>
      <c r="C9" s="439" t="str">
        <f>IF(OR(Start.listina!H17&gt;Start.listina!$K$7,Start.listina!G17=TRUE)," - ",Start.listina!AL17)</f>
        <v>7 PC Kolová - Kacerovský Ivo</v>
      </c>
      <c r="D9" s="333">
        <f>IF(OR(A9&gt;Start.listina!$K$7,TYPE(VLOOKUP(A9,$V$3:$X$130,3,0))&gt;3),"",VLOOKUP(A9,$V$3:$X$130,3,0))</f>
        <v>9</v>
      </c>
      <c r="E9" s="440">
        <f ca="1">IF(A9&gt;Start.listina!$K$7,"",IF(MIN(F9:K9)&gt;Start.listina!$Y$4,D9,MIN(F9:K9)))</f>
        <v>1</v>
      </c>
      <c r="F9" s="333">
        <f ca="1">IF(TYPE(VLOOKUP(C9,Konečné_pořadí_1_16!$B$2:$D$17,3,0))&lt;4,VLOOKUP(C9,Konečné_pořadí_1_16!$B$2:$D$17,3,0),999)</f>
        <v>1</v>
      </c>
      <c r="G9" s="333">
        <f ca="1">IF(TYPE(VLOOKUP(C9,'KO64'!$D$4:$D$129,1,0))&lt;4,64,999)</f>
        <v>64</v>
      </c>
      <c r="H9" s="333">
        <f ca="1">IF(TYPE(VLOOKUP(C9,'KO32'!$D$4:$D$65,1,0))&lt;4,32,999)</f>
        <v>32</v>
      </c>
      <c r="I9" s="333">
        <f ca="1">IF(TYPE(VLOOKUP(C9,'KO16'!$D$4:$D$33,1,0))&lt;4,16,999)</f>
        <v>16</v>
      </c>
      <c r="J9" s="333">
        <f ca="1">IF(TYPE(VLOOKUP(C9,'KO8'!$D$4:$D$17,1,0))&lt;4,8,999)</f>
        <v>8</v>
      </c>
      <c r="K9" s="333">
        <f ca="1">IF(TYPE(VLOOKUP(C9,'KO4'!$D$4:$D$9,1,0))&lt;4,4,999)</f>
        <v>4</v>
      </c>
      <c r="M9" s="334">
        <v>7</v>
      </c>
      <c r="O9" s="333">
        <f t="shared" ca="1" si="8"/>
        <v>3</v>
      </c>
      <c r="P9" s="333">
        <f t="shared" ca="1" si="9"/>
        <v>10</v>
      </c>
      <c r="Q9" s="333">
        <f t="shared" ca="1" si="0"/>
        <v>9</v>
      </c>
      <c r="R9" s="333">
        <f t="shared" ca="1" si="1"/>
        <v>5</v>
      </c>
      <c r="S9" s="333">
        <f t="shared" ca="1" si="10"/>
        <v>31</v>
      </c>
      <c r="T9" s="333">
        <f t="shared" ca="1" si="11"/>
        <v>0</v>
      </c>
      <c r="U9" s="415">
        <f t="shared" si="25"/>
        <v>7</v>
      </c>
      <c r="V9" s="415">
        <v>43</v>
      </c>
      <c r="W9" s="441" t="str">
        <f ca="1">IF($V9="","",CONCATENATE(TEXT($O9,"0"),IF(Start.listina!$Y$5="","",TEXT(500+$P9,"0000")),IF(Start.listina!$Y$6="","",CHOOSE(Start.listina!$Y$7,TEXT($Q9,"00"),CONCATENATE(TEXT($Q9,"00"),TEXT($S9,"000")), TEXT($R9,"00"))),TEXT(500+$P9,"0000"),IF(Start.listina!$Y$8="","",TEXT($T9,"0")),TEXT(999999*RAND(),"000000")))</f>
        <v>3090310510997966</v>
      </c>
      <c r="X9" s="417">
        <f t="shared" si="12"/>
        <v>7</v>
      </c>
      <c r="Y9" s="415">
        <f t="shared" ca="1" si="2"/>
        <v>3</v>
      </c>
      <c r="Z9" s="333">
        <f t="shared" ca="1" si="13"/>
        <v>32</v>
      </c>
      <c r="AA9" s="333">
        <f t="shared" ca="1" si="14"/>
        <v>11</v>
      </c>
      <c r="AB9" s="333">
        <f t="shared" ca="1" si="15"/>
        <v>5</v>
      </c>
      <c r="AC9" s="333">
        <f t="shared" ca="1" si="16"/>
        <v>25</v>
      </c>
      <c r="AD9" s="333">
        <f t="shared" ca="1" si="17"/>
        <v>0</v>
      </c>
      <c r="AE9" s="333">
        <f t="shared" ca="1" si="18"/>
        <v>0</v>
      </c>
      <c r="AG9" s="333">
        <f ca="1">IF(TYPE(VLOOKUP($A9,'1.kolo'!$L$3:$L$66,1,0))&gt;3,VLOOKUP($A9,'1.kolo'!$K$3:$L$66,2,0),VLOOKUP($A9,'1.kolo'!$L$3:$O$66,4,0))</f>
        <v>32</v>
      </c>
      <c r="AH9" s="333">
        <f ca="1">IF(TYPE(VLOOKUP($A9,'1.kolo'!$L$3:$L$66,1,0))&gt;3,VLOOKUP($A9,'1.kolo'!$O$3:$Q$66,2,0),VLOOKUP($A9,'1.kolo'!$L$3:$N$66,2,0))</f>
        <v>1</v>
      </c>
      <c r="AI9" s="333">
        <f ca="1">IF(TYPE(VLOOKUP($A9,'1.kolo'!$L$3:$L$66,1,0))&gt;3,VLOOKUP($A9,'1.kolo'!$O$3:$Q$66,3,0),VLOOKUP($A9,'1.kolo'!$L$3:$N$66,3,0))</f>
        <v>10</v>
      </c>
      <c r="AJ9" s="333">
        <f t="shared" ca="1" si="19"/>
        <v>0</v>
      </c>
      <c r="AK9" s="333">
        <v>7</v>
      </c>
      <c r="AL9" s="442"/>
      <c r="AP9" s="333">
        <f ca="1">IF(TYPE(VLOOKUP($A9,'2.kolo'!$L$3:$L$66,1,0))&gt;3,IF(TYPE(VLOOKUP($A9,'2.kolo'!$K$3:$L$66,2,0))&gt;3,0,VLOOKUP($A9,'2.kolo'!$K$3:$L$66,2,0)),VLOOKUP($A9,'2.kolo'!$L$3:$O$66,4,0))</f>
        <v>11</v>
      </c>
      <c r="AQ9" s="333">
        <f ca="1">IF(TYPE(VLOOKUP($A9,'2.kolo'!$L$3:$L$66,1,0))&gt;3,IF(TYPE(VLOOKUP($A9,'2.kolo'!$O$3:$Q$66,2,0))&gt;3,0,VLOOKUP($A9,'2.kolo'!$O$3:$Q$66,2,0)),VLOOKUP($A9,'2.kolo'!$L$3:$N$66,2,0))</f>
        <v>0</v>
      </c>
      <c r="AR9" s="333">
        <f ca="1">IF(TYPE(VLOOKUP($A9,'2.kolo'!$L$3:$L$66,1,0))&gt;3,IF(TYPE(VLOOKUP($A9,'2.kolo'!$O$3:$Q$66,3,0))&gt;3,0,VLOOKUP($A9,'2.kolo'!$O$3:$Q$66,3,0)),VLOOKUP($A9,'2.kolo'!$L$3:$N$66,3,0))</f>
        <v>-9</v>
      </c>
      <c r="AS9" s="333">
        <f t="shared" ca="1" si="20"/>
        <v>0</v>
      </c>
      <c r="AT9" s="415">
        <v>5</v>
      </c>
      <c r="AU9" s="442" t="str">
        <f ca="1">IF(AT9="","",CONCATENATE(TEXT($O9,"0"),IF(Start.listina!$Y$5="","",TEXT(500+$P9,"000")),TEXT(999999*RAND(),"000000")))</f>
        <v>3280613</v>
      </c>
      <c r="AV9" s="333">
        <f t="shared" ca="1" si="3"/>
        <v>0</v>
      </c>
      <c r="AY9" s="333">
        <f ca="1">IF(TYPE(VLOOKUP($A9,'3.kolo'!$L$3:$L$66,1,0))&gt;3,IF(TYPE(VLOOKUP($A9,'3.kolo'!$K$3:$L$66,2,0))&gt;3,0,VLOOKUP($A9,'3.kolo'!$K$3:$L$66,2,0)),VLOOKUP($A9,'3.kolo'!$L$3:$O$66,4,0))</f>
        <v>5</v>
      </c>
      <c r="AZ9" s="333">
        <f ca="1">IF(TYPE(VLOOKUP($A9,'3.kolo'!$L$3:$L$66,1,0))&gt;3,IF(TYPE(VLOOKUP($A9,'3.kolo'!$O$3:$Q$66,2,0))&gt;3,0,VLOOKUP($A9,'3.kolo'!$O$3:$Q$66,2,0)),VLOOKUP($A9,'3.kolo'!$L$3:$N$66,2,0))</f>
        <v>1</v>
      </c>
      <c r="BA9" s="333">
        <f ca="1">IF(TYPE(VLOOKUP($A9,'3.kolo'!$L$3:$L$66,1,0))&gt;3,IF(TYPE(VLOOKUP($A9,'3.kolo'!$O$3:$Q$66,3,0))&gt;3,0,VLOOKUP($A9,'3.kolo'!$O$3:$Q$66,3,0)),VLOOKUP($A9,'3.kolo'!$L$3:$N$66,3,0))</f>
        <v>7</v>
      </c>
      <c r="BB9" s="333">
        <f t="shared" ca="1" si="21"/>
        <v>0</v>
      </c>
      <c r="BC9" s="415">
        <v>19</v>
      </c>
      <c r="BD9" s="442" t="str">
        <f ca="1">IF(BC9="","",CONCATENATE(TEXT($O9,"0"),IF(Start.listina!$Y$5="","",TEXT(500+$P9,"000")),TEXT(999999*RAND(),"000000")))</f>
        <v>3142442</v>
      </c>
      <c r="BE9" s="333">
        <f t="shared" ca="1" si="4"/>
        <v>0</v>
      </c>
      <c r="BH9" s="333">
        <f ca="1">IF(TYPE(VLOOKUP($A9,'4.kolo'!$L$3:$L$66,1,0))&gt;3,IF(TYPE(VLOOKUP($A9,'4.kolo'!$K$3:$L$66,2,0))&gt;3,0,VLOOKUP($A9,'4.kolo'!$K$3:$L$66,2,0)),VLOOKUP($A9,'4.kolo'!$L$3:$O$66,4,0))</f>
        <v>25</v>
      </c>
      <c r="BI9" s="333">
        <f ca="1">IF(TYPE(VLOOKUP($A9,'4.kolo'!$L$3:$L$66,1,0))&gt;3,IF(TYPE(VLOOKUP($A9,'4.kolo'!$O$3:$Q$66,2,0))&gt;3,0,VLOOKUP($A9,'4.kolo'!$O$3:$Q$66,2,0)),VLOOKUP($A9,'4.kolo'!$L$3:$N$66,2,0))</f>
        <v>1</v>
      </c>
      <c r="BJ9" s="333">
        <f ca="1">IF(TYPE(VLOOKUP($A9,'4.kolo'!$L$3:$L$66,1,0))&gt;3,IF(TYPE(VLOOKUP($A9,'4.kolo'!$O$3:$Q$66,3,0))&gt;3,0,VLOOKUP($A9,'4.kolo'!$O$3:$Q$66,3,0)),VLOOKUP($A9,'4.kolo'!$L$3:$N$66,3,0))</f>
        <v>2</v>
      </c>
      <c r="BK9" s="333">
        <f t="shared" ca="1" si="22"/>
        <v>0</v>
      </c>
      <c r="BL9" s="415">
        <v>3</v>
      </c>
      <c r="BM9" s="442" t="str">
        <f ca="1">IF(BL9="","",CONCATENATE(TEXT($O9,"0"),IF(Start.listina!$Y$5="","",TEXT(500+$P9,"000")),TEXT(999999*RAND(),"000000")))</f>
        <v>3739897</v>
      </c>
      <c r="BN9" s="333">
        <f t="shared" ca="1" si="5"/>
        <v>0</v>
      </c>
      <c r="BQ9" s="333">
        <f ca="1">IF(TYPE(VLOOKUP($A9,'5.kolo'!$L$3:$L$66,1,0))&gt;3,IF(TYPE(VLOOKUP($A9,'5.kolo'!$K$3:$L$66,2,0))&gt;3,0,VLOOKUP($A9,'5.kolo'!$K$3:$L$66,2,0)),VLOOKUP($A9,'5.kolo'!$L$3:$O$66,4,0))</f>
        <v>0</v>
      </c>
      <c r="BR9" s="333">
        <f ca="1">IF(TYPE(VLOOKUP($A9,'5.kolo'!$L$3:$L$66,1,0))&gt;3,IF(TYPE(VLOOKUP($A9,'5.kolo'!$O$3:$Q$66,2,0))&gt;3,0,VLOOKUP($A9,'5.kolo'!$O$3:$Q$66,2,0)),VLOOKUP($A9,'5.kolo'!$L$3:$N$66,2,0))</f>
        <v>0</v>
      </c>
      <c r="BS9" s="333">
        <f ca="1">IF(TYPE(VLOOKUP($A9,'5.kolo'!$L$3:$L$66,1,0))&gt;3,IF(TYPE(VLOOKUP($A9,'5.kolo'!$O$3:$Q$66,3,0))&gt;3,0,VLOOKUP($A9,'5.kolo'!$O$3:$Q$66,3,0)),VLOOKUP($A9,'5.kolo'!$L$3:$N$66,3,0))</f>
        <v>0</v>
      </c>
      <c r="BT9" s="333">
        <f t="shared" ca="1" si="23"/>
        <v>0</v>
      </c>
      <c r="BU9" s="415"/>
      <c r="BV9" s="442" t="str">
        <f ca="1">IF(BU9="","",CONCATENATE(TEXT($O9,"0"),IF(Start.listina!$Y$5="","",TEXT(500+$P9,"000")),TEXT(999999*RAND(),"000000")))</f>
        <v/>
      </c>
      <c r="BW9" s="333">
        <f t="shared" ca="1" si="6"/>
        <v>0</v>
      </c>
      <c r="BZ9" s="333">
        <f ca="1">IF(TYPE(VLOOKUP($A9,'6.kolo'!$L$3:$L$66,1,0))&gt;3,IF(TYPE(VLOOKUP($A9,'6.kolo'!$K$3:$L$66,2,0))&gt;3,0,VLOOKUP($A9,'6.kolo'!$K$3:$L$66,2,0)),VLOOKUP($A9,'6.kolo'!$L$3:$O$66,4,0))</f>
        <v>0</v>
      </c>
      <c r="CA9" s="333">
        <f ca="1">IF(TYPE(VLOOKUP($A9,'6.kolo'!$L$3:$L$66,1,0))&gt;3,IF(TYPE(VLOOKUP($A9,'6.kolo'!$O$3:$Q$66,2,0))&gt;3,0,VLOOKUP($A9,'6.kolo'!$O$3:$Q$66,2,0)),VLOOKUP($A9,'6.kolo'!$L$3:$N$66,2,0))</f>
        <v>0</v>
      </c>
      <c r="CB9" s="333">
        <f ca="1">IF(TYPE(VLOOKUP($A9,'6.kolo'!$L$3:$L$66,1,0))&gt;3,IF(TYPE(VLOOKUP($A9,'6.kolo'!$O$3:$Q$66,3,0))&gt;3,0,VLOOKUP($A9,'6.kolo'!$O$3:$Q$66,3,0)),VLOOKUP($A9,'6.kolo'!$L$3:$N$66,3,0))</f>
        <v>0</v>
      </c>
      <c r="CC9" s="333">
        <f t="shared" ca="1" si="24"/>
        <v>0</v>
      </c>
      <c r="CD9" s="415"/>
      <c r="CE9" s="442" t="str">
        <f ca="1">IF(CD9="","",CONCATENATE(TEXT($O9,"0"),IF(Start.listina!$Y$5="","",TEXT(500+$P9,"000")),TEXT(999999*RAND(),"000000")))</f>
        <v/>
      </c>
      <c r="CF9" s="333">
        <f t="shared" ca="1" si="7"/>
        <v>0</v>
      </c>
    </row>
    <row r="10" spans="1:84" x14ac:dyDescent="0.25">
      <c r="A10" s="333">
        <f>IF(OR(Start.listina!H18&gt;Start.listina!$K$7,Start.listina!G18=TRUE),"",Start.listina!H18)</f>
        <v>8</v>
      </c>
      <c r="B10" s="333">
        <f>IF($A10&gt;Start.listina!$K$7,"",INT(($A10-1)/Start.listina!$O$7)+1)</f>
        <v>1</v>
      </c>
      <c r="C10" s="439" t="str">
        <f>IF(OR(Start.listina!H18&gt;Start.listina!$K$7,Start.listina!G18=TRUE)," - ",Start.listina!AL18)</f>
        <v>8 CdP Loděnice - Mrázek Petr</v>
      </c>
      <c r="D10" s="333">
        <f>IF(OR(A10&gt;Start.listina!$K$7,TYPE(VLOOKUP(A10,$V$3:$X$130,3,0))&gt;3),"",VLOOKUP(A10,$V$3:$X$130,3,0))</f>
        <v>27</v>
      </c>
      <c r="E10" s="440">
        <f ca="1">IF(A10&gt;Start.listina!$K$7,"",IF(MIN(F10:K10)&gt;Start.listina!$Y$4,D10,MIN(F10:K10)))</f>
        <v>27</v>
      </c>
      <c r="F10" s="333">
        <f ca="1">IF(TYPE(VLOOKUP(C10,Konečné_pořadí_1_16!$B$2:$D$17,3,0))&lt;4,VLOOKUP(C10,Konečné_pořadí_1_16!$B$2:$D$17,3,0),999)</f>
        <v>999</v>
      </c>
      <c r="G10" s="333">
        <f ca="1">IF(TYPE(VLOOKUP(C10,'KO64'!$D$4:$D$129,1,0))&lt;4,64,999)</f>
        <v>999</v>
      </c>
      <c r="H10" s="333">
        <f ca="1">IF(TYPE(VLOOKUP(C10,'KO32'!$D$4:$D$65,1,0))&lt;4,32,999)</f>
        <v>999</v>
      </c>
      <c r="I10" s="333">
        <f ca="1">IF(TYPE(VLOOKUP(C10,'KO16'!$D$4:$D$33,1,0))&lt;4,16,999)</f>
        <v>999</v>
      </c>
      <c r="J10" s="333">
        <f ca="1">IF(TYPE(VLOOKUP(C10,'KO8'!$D$4:$D$17,1,0))&lt;4,8,999)</f>
        <v>999</v>
      </c>
      <c r="K10" s="333">
        <f ca="1">IF(TYPE(VLOOKUP(C10,'KO4'!$D$4:$D$9,1,0))&lt;4,4,999)</f>
        <v>999</v>
      </c>
      <c r="M10" s="334">
        <v>8</v>
      </c>
      <c r="O10" s="333">
        <f t="shared" ca="1" si="8"/>
        <v>2</v>
      </c>
      <c r="P10" s="333">
        <f t="shared" ca="1" si="9"/>
        <v>5</v>
      </c>
      <c r="Q10" s="333">
        <f t="shared" ca="1" si="0"/>
        <v>8</v>
      </c>
      <c r="R10" s="333">
        <f t="shared" ca="1" si="1"/>
        <v>2</v>
      </c>
      <c r="S10" s="333">
        <f t="shared" ca="1" si="10"/>
        <v>30</v>
      </c>
      <c r="T10" s="333">
        <f t="shared" ca="1" si="11"/>
        <v>0</v>
      </c>
      <c r="U10" s="415">
        <f t="shared" si="25"/>
        <v>8</v>
      </c>
      <c r="V10" s="415">
        <v>9</v>
      </c>
      <c r="W10" s="441" t="str">
        <f ca="1">IF($V10="","",CONCATENATE(TEXT($O10,"0"),IF(Start.listina!$Y$5="","",TEXT(500+$P10,"0000")),IF(Start.listina!$Y$6="","",CHOOSE(Start.listina!$Y$7,TEXT($Q10,"00"),CONCATENATE(TEXT($Q10,"00"),TEXT($S10,"000")), TEXT($R10,"00"))),TEXT(500+$P10,"0000"),IF(Start.listina!$Y$8="","",TEXT($T10,"0")),TEXT(999999*RAND(),"000000")))</f>
        <v>2080300505233559</v>
      </c>
      <c r="X10" s="417">
        <f t="shared" si="12"/>
        <v>8</v>
      </c>
      <c r="Y10" s="415">
        <f t="shared" ca="1" si="2"/>
        <v>3</v>
      </c>
      <c r="Z10" s="333">
        <f t="shared" ca="1" si="13"/>
        <v>33</v>
      </c>
      <c r="AA10" s="333">
        <f t="shared" ca="1" si="14"/>
        <v>45</v>
      </c>
      <c r="AB10" s="333">
        <f t="shared" ca="1" si="15"/>
        <v>35</v>
      </c>
      <c r="AC10" s="333">
        <f t="shared" ca="1" si="16"/>
        <v>47</v>
      </c>
      <c r="AD10" s="333">
        <f t="shared" ca="1" si="17"/>
        <v>0</v>
      </c>
      <c r="AE10" s="333">
        <f t="shared" ca="1" si="18"/>
        <v>0</v>
      </c>
      <c r="AG10" s="333">
        <f ca="1">IF(TYPE(VLOOKUP($A10,'1.kolo'!$L$3:$L$66,1,0))&gt;3,VLOOKUP($A10,'1.kolo'!$K$3:$L$66,2,0),VLOOKUP($A10,'1.kolo'!$L$3:$O$66,4,0))</f>
        <v>33</v>
      </c>
      <c r="AH10" s="333">
        <f ca="1">IF(TYPE(VLOOKUP($A10,'1.kolo'!$L$3:$L$66,1,0))&gt;3,VLOOKUP($A10,'1.kolo'!$O$3:$Q$66,2,0),VLOOKUP($A10,'1.kolo'!$L$3:$N$66,2,0))</f>
        <v>1</v>
      </c>
      <c r="AI10" s="333">
        <f ca="1">IF(TYPE(VLOOKUP($A10,'1.kolo'!$L$3:$L$66,1,0))&gt;3,VLOOKUP($A10,'1.kolo'!$O$3:$Q$66,3,0),VLOOKUP($A10,'1.kolo'!$L$3:$N$66,3,0))</f>
        <v>5</v>
      </c>
      <c r="AJ10" s="333">
        <f t="shared" ca="1" si="19"/>
        <v>0</v>
      </c>
      <c r="AK10" s="333">
        <v>8</v>
      </c>
      <c r="AL10" s="442"/>
      <c r="AP10" s="333">
        <f ca="1">IF(TYPE(VLOOKUP($A10,'2.kolo'!$L$3:$L$66,1,0))&gt;3,IF(TYPE(VLOOKUP($A10,'2.kolo'!$K$3:$L$66,2,0))&gt;3,0,VLOOKUP($A10,'2.kolo'!$K$3:$L$66,2,0)),VLOOKUP($A10,'2.kolo'!$L$3:$O$66,4,0))</f>
        <v>45</v>
      </c>
      <c r="AQ10" s="333">
        <f ca="1">IF(TYPE(VLOOKUP($A10,'2.kolo'!$L$3:$L$66,1,0))&gt;3,IF(TYPE(VLOOKUP($A10,'2.kolo'!$O$3:$Q$66,2,0))&gt;3,0,VLOOKUP($A10,'2.kolo'!$O$3:$Q$66,2,0)),VLOOKUP($A10,'2.kolo'!$L$3:$N$66,2,0))</f>
        <v>0</v>
      </c>
      <c r="AR10" s="333">
        <f ca="1">IF(TYPE(VLOOKUP($A10,'2.kolo'!$L$3:$L$66,1,0))&gt;3,IF(TYPE(VLOOKUP($A10,'2.kolo'!$O$3:$Q$66,3,0))&gt;3,0,VLOOKUP($A10,'2.kolo'!$O$3:$Q$66,3,0)),VLOOKUP($A10,'2.kolo'!$L$3:$N$66,3,0))</f>
        <v>-4</v>
      </c>
      <c r="AS10" s="333">
        <f t="shared" ca="1" si="20"/>
        <v>0</v>
      </c>
      <c r="AT10" s="415">
        <v>24</v>
      </c>
      <c r="AU10" s="442" t="str">
        <f ca="1">IF(AT10="","",CONCATENATE(TEXT($O10,"0"),IF(Start.listina!$Y$5="","",TEXT(500+$P10,"000")),TEXT(999999*RAND(),"000000")))</f>
        <v>2009804</v>
      </c>
      <c r="AV10" s="333">
        <f t="shared" ca="1" si="3"/>
        <v>0</v>
      </c>
      <c r="AY10" s="333">
        <f ca="1">IF(TYPE(VLOOKUP($A10,'3.kolo'!$L$3:$L$66,1,0))&gt;3,IF(TYPE(VLOOKUP($A10,'3.kolo'!$K$3:$L$66,2,0))&gt;3,0,VLOOKUP($A10,'3.kolo'!$K$3:$L$66,2,0)),VLOOKUP($A10,'3.kolo'!$L$3:$O$66,4,0))</f>
        <v>35</v>
      </c>
      <c r="AZ10" s="333">
        <f ca="1">IF(TYPE(VLOOKUP($A10,'3.kolo'!$L$3:$L$66,1,0))&gt;3,IF(TYPE(VLOOKUP($A10,'3.kolo'!$O$3:$Q$66,2,0))&gt;3,0,VLOOKUP($A10,'3.kolo'!$O$3:$Q$66,2,0)),VLOOKUP($A10,'3.kolo'!$L$3:$N$66,2,0))</f>
        <v>0</v>
      </c>
      <c r="BA10" s="333">
        <f ca="1">IF(TYPE(VLOOKUP($A10,'3.kolo'!$L$3:$L$66,1,0))&gt;3,IF(TYPE(VLOOKUP($A10,'3.kolo'!$O$3:$Q$66,3,0))&gt;3,0,VLOOKUP($A10,'3.kolo'!$O$3:$Q$66,3,0)),VLOOKUP($A10,'3.kolo'!$L$3:$N$66,3,0))</f>
        <v>-3</v>
      </c>
      <c r="BB10" s="333">
        <f t="shared" ca="1" si="21"/>
        <v>0</v>
      </c>
      <c r="BC10" s="415">
        <v>16</v>
      </c>
      <c r="BD10" s="442" t="str">
        <f ca="1">IF(BC10="","",CONCATENATE(TEXT($O10,"0"),IF(Start.listina!$Y$5="","",TEXT(500+$P10,"000")),TEXT(999999*RAND(),"000000")))</f>
        <v>2061871</v>
      </c>
      <c r="BE10" s="333">
        <f t="shared" ca="1" si="4"/>
        <v>0</v>
      </c>
      <c r="BH10" s="333">
        <f ca="1">IF(TYPE(VLOOKUP($A10,'4.kolo'!$L$3:$L$66,1,0))&gt;3,IF(TYPE(VLOOKUP($A10,'4.kolo'!$K$3:$L$66,2,0))&gt;3,0,VLOOKUP($A10,'4.kolo'!$K$3:$L$66,2,0)),VLOOKUP($A10,'4.kolo'!$L$3:$O$66,4,0))</f>
        <v>47</v>
      </c>
      <c r="BI10" s="333">
        <f ca="1">IF(TYPE(VLOOKUP($A10,'4.kolo'!$L$3:$L$66,1,0))&gt;3,IF(TYPE(VLOOKUP($A10,'4.kolo'!$O$3:$Q$66,2,0))&gt;3,0,VLOOKUP($A10,'4.kolo'!$O$3:$Q$66,2,0)),VLOOKUP($A10,'4.kolo'!$L$3:$N$66,2,0))</f>
        <v>1</v>
      </c>
      <c r="BJ10" s="333">
        <f ca="1">IF(TYPE(VLOOKUP($A10,'4.kolo'!$L$3:$L$66,1,0))&gt;3,IF(TYPE(VLOOKUP($A10,'4.kolo'!$O$3:$Q$66,3,0))&gt;3,0,VLOOKUP($A10,'4.kolo'!$O$3:$Q$66,3,0)),VLOOKUP($A10,'4.kolo'!$L$3:$N$66,3,0))</f>
        <v>7</v>
      </c>
      <c r="BK10" s="333">
        <f t="shared" ca="1" si="22"/>
        <v>0</v>
      </c>
      <c r="BL10" s="415">
        <v>35</v>
      </c>
      <c r="BM10" s="442" t="str">
        <f ca="1">IF(BL10="","",CONCATENATE(TEXT($O10,"0"),IF(Start.listina!$Y$5="","",TEXT(500+$P10,"000")),TEXT(999999*RAND(),"000000")))</f>
        <v>2216111</v>
      </c>
      <c r="BN10" s="333">
        <f t="shared" ca="1" si="5"/>
        <v>0</v>
      </c>
      <c r="BQ10" s="333">
        <f ca="1">IF(TYPE(VLOOKUP($A10,'5.kolo'!$L$3:$L$66,1,0))&gt;3,IF(TYPE(VLOOKUP($A10,'5.kolo'!$K$3:$L$66,2,0))&gt;3,0,VLOOKUP($A10,'5.kolo'!$K$3:$L$66,2,0)),VLOOKUP($A10,'5.kolo'!$L$3:$O$66,4,0))</f>
        <v>0</v>
      </c>
      <c r="BR10" s="333">
        <f ca="1">IF(TYPE(VLOOKUP($A10,'5.kolo'!$L$3:$L$66,1,0))&gt;3,IF(TYPE(VLOOKUP($A10,'5.kolo'!$O$3:$Q$66,2,0))&gt;3,0,VLOOKUP($A10,'5.kolo'!$O$3:$Q$66,2,0)),VLOOKUP($A10,'5.kolo'!$L$3:$N$66,2,0))</f>
        <v>0</v>
      </c>
      <c r="BS10" s="333">
        <f ca="1">IF(TYPE(VLOOKUP($A10,'5.kolo'!$L$3:$L$66,1,0))&gt;3,IF(TYPE(VLOOKUP($A10,'5.kolo'!$O$3:$Q$66,3,0))&gt;3,0,VLOOKUP($A10,'5.kolo'!$O$3:$Q$66,3,0)),VLOOKUP($A10,'5.kolo'!$L$3:$N$66,3,0))</f>
        <v>0</v>
      </c>
      <c r="BT10" s="333">
        <f t="shared" ca="1" si="23"/>
        <v>0</v>
      </c>
      <c r="BU10" s="415"/>
      <c r="BV10" s="442" t="str">
        <f ca="1">IF(BU10="","",CONCATENATE(TEXT($O10,"0"),IF(Start.listina!$Y$5="","",TEXT(500+$P10,"000")),TEXT(999999*RAND(),"000000")))</f>
        <v/>
      </c>
      <c r="BW10" s="333">
        <f t="shared" ca="1" si="6"/>
        <v>0</v>
      </c>
      <c r="BZ10" s="333">
        <f ca="1">IF(TYPE(VLOOKUP($A10,'6.kolo'!$L$3:$L$66,1,0))&gt;3,IF(TYPE(VLOOKUP($A10,'6.kolo'!$K$3:$L$66,2,0))&gt;3,0,VLOOKUP($A10,'6.kolo'!$K$3:$L$66,2,0)),VLOOKUP($A10,'6.kolo'!$L$3:$O$66,4,0))</f>
        <v>0</v>
      </c>
      <c r="CA10" s="333">
        <f ca="1">IF(TYPE(VLOOKUP($A10,'6.kolo'!$L$3:$L$66,1,0))&gt;3,IF(TYPE(VLOOKUP($A10,'6.kolo'!$O$3:$Q$66,2,0))&gt;3,0,VLOOKUP($A10,'6.kolo'!$O$3:$Q$66,2,0)),VLOOKUP($A10,'6.kolo'!$L$3:$N$66,2,0))</f>
        <v>0</v>
      </c>
      <c r="CB10" s="333">
        <f ca="1">IF(TYPE(VLOOKUP($A10,'6.kolo'!$L$3:$L$66,1,0))&gt;3,IF(TYPE(VLOOKUP($A10,'6.kolo'!$O$3:$Q$66,3,0))&gt;3,0,VLOOKUP($A10,'6.kolo'!$O$3:$Q$66,3,0)),VLOOKUP($A10,'6.kolo'!$L$3:$N$66,3,0))</f>
        <v>0</v>
      </c>
      <c r="CC10" s="333">
        <f t="shared" ca="1" si="24"/>
        <v>0</v>
      </c>
      <c r="CD10" s="415"/>
      <c r="CE10" s="442" t="str">
        <f ca="1">IF(CD10="","",CONCATENATE(TEXT($O10,"0"),IF(Start.listina!$Y$5="","",TEXT(500+$P10,"000")),TEXT(999999*RAND(),"000000")))</f>
        <v/>
      </c>
      <c r="CF10" s="333">
        <f t="shared" ca="1" si="7"/>
        <v>0</v>
      </c>
    </row>
    <row r="11" spans="1:84" x14ac:dyDescent="0.25">
      <c r="A11" s="333">
        <f>IF(OR(Start.listina!H19&gt;Start.listina!$K$7,Start.listina!G19=TRUE),"",Start.listina!H19)</f>
        <v>9</v>
      </c>
      <c r="B11" s="333">
        <f>IF($A11&gt;Start.listina!$K$7,"",INT(($A11-1)/Start.listina!$O$7)+1)</f>
        <v>1</v>
      </c>
      <c r="C11" s="439" t="str">
        <f>IF(OR(Start.listina!H19&gt;Start.listina!$K$7,Start.listina!G19=TRUE)," - ",Start.listina!AL19)</f>
        <v>9 PK Osika Plzeň - Mráz Václav</v>
      </c>
      <c r="D11" s="333">
        <f>IF(OR(A11&gt;Start.listina!$K$7,TYPE(VLOOKUP(A11,$V$3:$X$130,3,0))&gt;3),"",VLOOKUP(A11,$V$3:$X$130,3,0))</f>
        <v>8</v>
      </c>
      <c r="E11" s="440">
        <f ca="1">IF(A11&gt;Start.listina!$K$7,"",IF(MIN(F11:K11)&gt;Start.listina!$Y$4,D11,MIN(F11:K11)))</f>
        <v>12</v>
      </c>
      <c r="F11" s="333">
        <f ca="1">IF(TYPE(VLOOKUP(C11,Konečné_pořadí_1_16!$B$2:$D$17,3,0))&lt;4,VLOOKUP(C11,Konečné_pořadí_1_16!$B$2:$D$17,3,0),999)</f>
        <v>12</v>
      </c>
      <c r="G11" s="333">
        <f ca="1">IF(TYPE(VLOOKUP(C11,'KO64'!$D$4:$D$129,1,0))&lt;4,64,999)</f>
        <v>64</v>
      </c>
      <c r="H11" s="333">
        <f ca="1">IF(TYPE(VLOOKUP(C11,'KO32'!$D$4:$D$65,1,0))&lt;4,32,999)</f>
        <v>32</v>
      </c>
      <c r="I11" s="333">
        <f ca="1">IF(TYPE(VLOOKUP(C11,'KO16'!$D$4:$D$33,1,0))&lt;4,16,999)</f>
        <v>16</v>
      </c>
      <c r="J11" s="333">
        <f ca="1">IF(TYPE(VLOOKUP(C11,'KO8'!$D$4:$D$17,1,0))&lt;4,8,999)</f>
        <v>999</v>
      </c>
      <c r="K11" s="333">
        <f ca="1">IF(TYPE(VLOOKUP(C11,'KO4'!$D$4:$D$9,1,0))&lt;4,4,999)</f>
        <v>999</v>
      </c>
      <c r="M11" s="334">
        <v>9</v>
      </c>
      <c r="O11" s="333">
        <f t="shared" ca="1" si="8"/>
        <v>3</v>
      </c>
      <c r="P11" s="333">
        <f t="shared" ca="1" si="9"/>
        <v>-1</v>
      </c>
      <c r="Q11" s="333">
        <f t="shared" ca="1" si="0"/>
        <v>10</v>
      </c>
      <c r="R11" s="333">
        <f t="shared" ca="1" si="1"/>
        <v>6</v>
      </c>
      <c r="S11" s="333">
        <f t="shared" ca="1" si="10"/>
        <v>30</v>
      </c>
      <c r="T11" s="333">
        <f t="shared" ca="1" si="11"/>
        <v>0</v>
      </c>
      <c r="U11" s="415">
        <f t="shared" si="25"/>
        <v>9</v>
      </c>
      <c r="V11" s="415">
        <v>7</v>
      </c>
      <c r="W11" s="441" t="str">
        <f ca="1">IF($V11="","",CONCATENATE(TEXT($O11,"0"),IF(Start.listina!$Y$5="","",TEXT(500+$P11,"0000")),IF(Start.listina!$Y$6="","",CHOOSE(Start.listina!$Y$7,TEXT($Q11,"00"),CONCATENATE(TEXT($Q11,"00"),TEXT($S11,"000")), TEXT($R11,"00"))),TEXT(500+$P11,"0000"),IF(Start.listina!$Y$8="","",TEXT($T11,"0")),TEXT(999999*RAND(),"000000")))</f>
        <v>3100300499052855</v>
      </c>
      <c r="X11" s="417">
        <f t="shared" si="12"/>
        <v>9</v>
      </c>
      <c r="Y11" s="415">
        <f t="shared" ca="1" si="2"/>
        <v>3</v>
      </c>
      <c r="Z11" s="333">
        <f t="shared" ca="1" si="13"/>
        <v>34</v>
      </c>
      <c r="AA11" s="333">
        <f t="shared" ca="1" si="14"/>
        <v>17</v>
      </c>
      <c r="AB11" s="333">
        <f t="shared" ca="1" si="15"/>
        <v>2</v>
      </c>
      <c r="AC11" s="333">
        <f t="shared" ca="1" si="16"/>
        <v>21</v>
      </c>
      <c r="AD11" s="333">
        <f t="shared" ca="1" si="17"/>
        <v>0</v>
      </c>
      <c r="AE11" s="333">
        <f t="shared" ca="1" si="18"/>
        <v>0</v>
      </c>
      <c r="AG11" s="333">
        <f ca="1">IF(TYPE(VLOOKUP($A11,'1.kolo'!$L$3:$L$66,1,0))&gt;3,VLOOKUP($A11,'1.kolo'!$K$3:$L$66,2,0),VLOOKUP($A11,'1.kolo'!$L$3:$O$66,4,0))</f>
        <v>34</v>
      </c>
      <c r="AH11" s="333">
        <f ca="1">IF(TYPE(VLOOKUP($A11,'1.kolo'!$L$3:$L$66,1,0))&gt;3,VLOOKUP($A11,'1.kolo'!$O$3:$Q$66,2,0),VLOOKUP($A11,'1.kolo'!$L$3:$N$66,2,0))</f>
        <v>1</v>
      </c>
      <c r="AI11" s="333">
        <f ca="1">IF(TYPE(VLOOKUP($A11,'1.kolo'!$L$3:$L$66,1,0))&gt;3,VLOOKUP($A11,'1.kolo'!$O$3:$Q$66,3,0),VLOOKUP($A11,'1.kolo'!$L$3:$N$66,3,0))</f>
        <v>1</v>
      </c>
      <c r="AJ11" s="333">
        <f t="shared" ca="1" si="19"/>
        <v>0</v>
      </c>
      <c r="AK11" s="333">
        <v>9</v>
      </c>
      <c r="AL11" s="442"/>
      <c r="AP11" s="333">
        <f ca="1">IF(TYPE(VLOOKUP($A11,'2.kolo'!$L$3:$L$66,1,0))&gt;3,IF(TYPE(VLOOKUP($A11,'2.kolo'!$K$3:$L$66,2,0))&gt;3,0,VLOOKUP($A11,'2.kolo'!$K$3:$L$66,2,0)),VLOOKUP($A11,'2.kolo'!$L$3:$O$66,4,0))</f>
        <v>17</v>
      </c>
      <c r="AQ11" s="333">
        <f ca="1">IF(TYPE(VLOOKUP($A11,'2.kolo'!$L$3:$L$66,1,0))&gt;3,IF(TYPE(VLOOKUP($A11,'2.kolo'!$O$3:$Q$66,2,0))&gt;3,0,VLOOKUP($A11,'2.kolo'!$O$3:$Q$66,2,0)),VLOOKUP($A11,'2.kolo'!$L$3:$N$66,2,0))</f>
        <v>1</v>
      </c>
      <c r="AR11" s="333">
        <f ca="1">IF(TYPE(VLOOKUP($A11,'2.kolo'!$L$3:$L$66,1,0))&gt;3,IF(TYPE(VLOOKUP($A11,'2.kolo'!$O$3:$Q$66,3,0))&gt;3,0,VLOOKUP($A11,'2.kolo'!$O$3:$Q$66,3,0)),VLOOKUP($A11,'2.kolo'!$L$3:$N$66,3,0))</f>
        <v>3</v>
      </c>
      <c r="AS11" s="333">
        <f t="shared" ca="1" si="20"/>
        <v>0</v>
      </c>
      <c r="AT11" s="415">
        <v>1</v>
      </c>
      <c r="AU11" s="442" t="str">
        <f ca="1">IF(AT11="","",CONCATENATE(TEXT($O11,"0"),IF(Start.listina!$Y$5="","",TEXT(500+$P11,"000")),TEXT(999999*RAND(),"000000")))</f>
        <v>3192133</v>
      </c>
      <c r="AV11" s="333">
        <f t="shared" ca="1" si="3"/>
        <v>0</v>
      </c>
      <c r="AY11" s="333">
        <f ca="1">IF(TYPE(VLOOKUP($A11,'3.kolo'!$L$3:$L$66,1,0))&gt;3,IF(TYPE(VLOOKUP($A11,'3.kolo'!$K$3:$L$66,2,0))&gt;3,0,VLOOKUP($A11,'3.kolo'!$K$3:$L$66,2,0)),VLOOKUP($A11,'3.kolo'!$L$3:$O$66,4,0))</f>
        <v>2</v>
      </c>
      <c r="AZ11" s="333">
        <f ca="1">IF(TYPE(VLOOKUP($A11,'3.kolo'!$L$3:$L$66,1,0))&gt;3,IF(TYPE(VLOOKUP($A11,'3.kolo'!$O$3:$Q$66,2,0))&gt;3,0,VLOOKUP($A11,'3.kolo'!$O$3:$Q$66,2,0)),VLOOKUP($A11,'3.kolo'!$L$3:$N$66,2,0))</f>
        <v>0</v>
      </c>
      <c r="BA11" s="333">
        <f ca="1">IF(TYPE(VLOOKUP($A11,'3.kolo'!$L$3:$L$66,1,0))&gt;3,IF(TYPE(VLOOKUP($A11,'3.kolo'!$O$3:$Q$66,3,0))&gt;3,0,VLOOKUP($A11,'3.kolo'!$O$3:$Q$66,3,0)),VLOOKUP($A11,'3.kolo'!$L$3:$N$66,3,0))</f>
        <v>-12</v>
      </c>
      <c r="BB11" s="333">
        <f t="shared" ca="1" si="21"/>
        <v>0</v>
      </c>
      <c r="BC11" s="415">
        <v>45</v>
      </c>
      <c r="BD11" s="442" t="str">
        <f ca="1">IF(BC11="","",CONCATENATE(TEXT($O11,"0"),IF(Start.listina!$Y$5="","",TEXT(500+$P11,"000")),TEXT(999999*RAND(),"000000")))</f>
        <v>3887293</v>
      </c>
      <c r="BE11" s="333">
        <f t="shared" ca="1" si="4"/>
        <v>0</v>
      </c>
      <c r="BH11" s="333">
        <f ca="1">IF(TYPE(VLOOKUP($A11,'4.kolo'!$L$3:$L$66,1,0))&gt;3,IF(TYPE(VLOOKUP($A11,'4.kolo'!$K$3:$L$66,2,0))&gt;3,0,VLOOKUP($A11,'4.kolo'!$K$3:$L$66,2,0)),VLOOKUP($A11,'4.kolo'!$L$3:$O$66,4,0))</f>
        <v>21</v>
      </c>
      <c r="BI11" s="333">
        <f ca="1">IF(TYPE(VLOOKUP($A11,'4.kolo'!$L$3:$L$66,1,0))&gt;3,IF(TYPE(VLOOKUP($A11,'4.kolo'!$O$3:$Q$66,2,0))&gt;3,0,VLOOKUP($A11,'4.kolo'!$O$3:$Q$66,2,0)),VLOOKUP($A11,'4.kolo'!$L$3:$N$66,2,0))</f>
        <v>1</v>
      </c>
      <c r="BJ11" s="333">
        <f ca="1">IF(TYPE(VLOOKUP($A11,'4.kolo'!$L$3:$L$66,1,0))&gt;3,IF(TYPE(VLOOKUP($A11,'4.kolo'!$O$3:$Q$66,3,0))&gt;3,0,VLOOKUP($A11,'4.kolo'!$O$3:$Q$66,3,0)),VLOOKUP($A11,'4.kolo'!$L$3:$N$66,3,0))</f>
        <v>7</v>
      </c>
      <c r="BK11" s="333">
        <f t="shared" ca="1" si="22"/>
        <v>0</v>
      </c>
      <c r="BL11" s="415">
        <v>13</v>
      </c>
      <c r="BM11" s="442" t="str">
        <f ca="1">IF(BL11="","",CONCATENATE(TEXT($O11,"0"),IF(Start.listina!$Y$5="","",TEXT(500+$P11,"000")),TEXT(999999*RAND(),"000000")))</f>
        <v>3762028</v>
      </c>
      <c r="BN11" s="333">
        <f t="shared" ca="1" si="5"/>
        <v>0</v>
      </c>
      <c r="BQ11" s="333">
        <f ca="1">IF(TYPE(VLOOKUP($A11,'5.kolo'!$L$3:$L$66,1,0))&gt;3,IF(TYPE(VLOOKUP($A11,'5.kolo'!$K$3:$L$66,2,0))&gt;3,0,VLOOKUP($A11,'5.kolo'!$K$3:$L$66,2,0)),VLOOKUP($A11,'5.kolo'!$L$3:$O$66,4,0))</f>
        <v>0</v>
      </c>
      <c r="BR11" s="333">
        <f ca="1">IF(TYPE(VLOOKUP($A11,'5.kolo'!$L$3:$L$66,1,0))&gt;3,IF(TYPE(VLOOKUP($A11,'5.kolo'!$O$3:$Q$66,2,0))&gt;3,0,VLOOKUP($A11,'5.kolo'!$O$3:$Q$66,2,0)),VLOOKUP($A11,'5.kolo'!$L$3:$N$66,2,0))</f>
        <v>0</v>
      </c>
      <c r="BS11" s="333">
        <f ca="1">IF(TYPE(VLOOKUP($A11,'5.kolo'!$L$3:$L$66,1,0))&gt;3,IF(TYPE(VLOOKUP($A11,'5.kolo'!$O$3:$Q$66,3,0))&gt;3,0,VLOOKUP($A11,'5.kolo'!$O$3:$Q$66,3,0)),VLOOKUP($A11,'5.kolo'!$L$3:$N$66,3,0))</f>
        <v>0</v>
      </c>
      <c r="BT11" s="333">
        <f t="shared" ca="1" si="23"/>
        <v>0</v>
      </c>
      <c r="BU11" s="415"/>
      <c r="BV11" s="442" t="str">
        <f ca="1">IF(BU11="","",CONCATENATE(TEXT($O11,"0"),IF(Start.listina!$Y$5="","",TEXT(500+$P11,"000")),TEXT(999999*RAND(),"000000")))</f>
        <v/>
      </c>
      <c r="BW11" s="333">
        <f t="shared" ca="1" si="6"/>
        <v>0</v>
      </c>
      <c r="BZ11" s="333">
        <f ca="1">IF(TYPE(VLOOKUP($A11,'6.kolo'!$L$3:$L$66,1,0))&gt;3,IF(TYPE(VLOOKUP($A11,'6.kolo'!$K$3:$L$66,2,0))&gt;3,0,VLOOKUP($A11,'6.kolo'!$K$3:$L$66,2,0)),VLOOKUP($A11,'6.kolo'!$L$3:$O$66,4,0))</f>
        <v>0</v>
      </c>
      <c r="CA11" s="333">
        <f ca="1">IF(TYPE(VLOOKUP($A11,'6.kolo'!$L$3:$L$66,1,0))&gt;3,IF(TYPE(VLOOKUP($A11,'6.kolo'!$O$3:$Q$66,2,0))&gt;3,0,VLOOKUP($A11,'6.kolo'!$O$3:$Q$66,2,0)),VLOOKUP($A11,'6.kolo'!$L$3:$N$66,2,0))</f>
        <v>0</v>
      </c>
      <c r="CB11" s="333">
        <f ca="1">IF(TYPE(VLOOKUP($A11,'6.kolo'!$L$3:$L$66,1,0))&gt;3,IF(TYPE(VLOOKUP($A11,'6.kolo'!$O$3:$Q$66,3,0))&gt;3,0,VLOOKUP($A11,'6.kolo'!$O$3:$Q$66,3,0)),VLOOKUP($A11,'6.kolo'!$L$3:$N$66,3,0))</f>
        <v>0</v>
      </c>
      <c r="CC11" s="333">
        <f t="shared" ca="1" si="24"/>
        <v>0</v>
      </c>
      <c r="CD11" s="415"/>
      <c r="CE11" s="442" t="str">
        <f ca="1">IF(CD11="","",CONCATENATE(TEXT($O11,"0"),IF(Start.listina!$Y$5="","",TEXT(500+$P11,"000")),TEXT(999999*RAND(),"000000")))</f>
        <v/>
      </c>
      <c r="CF11" s="333">
        <f t="shared" ca="1" si="7"/>
        <v>0</v>
      </c>
    </row>
    <row r="12" spans="1:84" x14ac:dyDescent="0.25">
      <c r="A12" s="333">
        <f>IF(OR(Start.listina!H20&gt;Start.listina!$K$7,Start.listina!G20=TRUE),"",Start.listina!H20)</f>
        <v>10</v>
      </c>
      <c r="B12" s="333">
        <f>IF($A12&gt;Start.listina!$K$7,"",INT(($A12-1)/Start.listina!$O$7)+1)</f>
        <v>1</v>
      </c>
      <c r="C12" s="439" t="str">
        <f>IF(OR(Start.listina!H20&gt;Start.listina!$K$7,Start.listina!G20=TRUE)," - ",Start.listina!AL20)</f>
        <v>10 PC Kolová - Plucar Petr</v>
      </c>
      <c r="D12" s="333">
        <f>IF(OR(A12&gt;Start.listina!$K$7,TYPE(VLOOKUP(A12,$V$3:$X$130,3,0))&gt;3),"",VLOOKUP(A12,$V$3:$X$130,3,0))</f>
        <v>14</v>
      </c>
      <c r="E12" s="440">
        <f ca="1">IF(A12&gt;Start.listina!$K$7,"",IF(MIN(F12:K12)&gt;Start.listina!$Y$4,D12,MIN(F12:K12)))</f>
        <v>13</v>
      </c>
      <c r="F12" s="333">
        <f ca="1">IF(TYPE(VLOOKUP(C12,Konečné_pořadí_1_16!$B$2:$D$17,3,0))&lt;4,VLOOKUP(C12,Konečné_pořadí_1_16!$B$2:$D$17,3,0),999)</f>
        <v>13</v>
      </c>
      <c r="G12" s="333">
        <f ca="1">IF(TYPE(VLOOKUP(C12,'KO64'!$D$4:$D$129,1,0))&lt;4,64,999)</f>
        <v>64</v>
      </c>
      <c r="H12" s="333">
        <f ca="1">IF(TYPE(VLOOKUP(C12,'KO32'!$D$4:$D$65,1,0))&lt;4,32,999)</f>
        <v>32</v>
      </c>
      <c r="I12" s="333">
        <f ca="1">IF(TYPE(VLOOKUP(C12,'KO16'!$D$4:$D$33,1,0))&lt;4,16,999)</f>
        <v>16</v>
      </c>
      <c r="J12" s="333">
        <f ca="1">IF(TYPE(VLOOKUP(C12,'KO8'!$D$4:$D$17,1,0))&lt;4,8,999)</f>
        <v>999</v>
      </c>
      <c r="K12" s="333">
        <f ca="1">IF(TYPE(VLOOKUP(C12,'KO4'!$D$4:$D$9,1,0))&lt;4,4,999)</f>
        <v>999</v>
      </c>
      <c r="M12" s="334">
        <v>10</v>
      </c>
      <c r="O12" s="333">
        <f t="shared" ca="1" si="8"/>
        <v>3</v>
      </c>
      <c r="P12" s="333">
        <f t="shared" ca="1" si="9"/>
        <v>26</v>
      </c>
      <c r="Q12" s="333">
        <f t="shared" ca="1" si="0"/>
        <v>8</v>
      </c>
      <c r="R12" s="333">
        <f t="shared" ca="1" si="1"/>
        <v>6</v>
      </c>
      <c r="S12" s="333">
        <f t="shared" ca="1" si="10"/>
        <v>35</v>
      </c>
      <c r="T12" s="333">
        <f t="shared" ca="1" si="11"/>
        <v>0</v>
      </c>
      <c r="U12" s="415">
        <f t="shared" si="25"/>
        <v>10</v>
      </c>
      <c r="V12" s="415">
        <v>20</v>
      </c>
      <c r="W12" s="441" t="str">
        <f ca="1">IF($V12="","",CONCATENATE(TEXT($O12,"0"),IF(Start.listina!$Y$5="","",TEXT(500+$P12,"0000")),IF(Start.listina!$Y$6="","",CHOOSE(Start.listina!$Y$7,TEXT($Q12,"00"),CONCATENATE(TEXT($Q12,"00"),TEXT($S12,"000")), TEXT($R12,"00"))),TEXT(500+$P12,"0000"),IF(Start.listina!$Y$8="","",TEXT($T12,"0")),TEXT(999999*RAND(),"000000")))</f>
        <v>3080350526683929</v>
      </c>
      <c r="X12" s="417">
        <f t="shared" si="12"/>
        <v>10</v>
      </c>
      <c r="Y12" s="415">
        <f t="shared" ca="1" si="2"/>
        <v>3</v>
      </c>
      <c r="Z12" s="333">
        <f t="shared" ca="1" si="13"/>
        <v>35</v>
      </c>
      <c r="AA12" s="333">
        <f t="shared" ca="1" si="14"/>
        <v>4</v>
      </c>
      <c r="AB12" s="333">
        <f t="shared" ca="1" si="15"/>
        <v>39</v>
      </c>
      <c r="AC12" s="333">
        <f t="shared" ca="1" si="16"/>
        <v>49</v>
      </c>
      <c r="AD12" s="333">
        <f t="shared" ca="1" si="17"/>
        <v>0</v>
      </c>
      <c r="AE12" s="333">
        <f t="shared" ca="1" si="18"/>
        <v>0</v>
      </c>
      <c r="AG12" s="333">
        <f ca="1">IF(TYPE(VLOOKUP($A12,'1.kolo'!$L$3:$L$66,1,0))&gt;3,VLOOKUP($A12,'1.kolo'!$K$3:$L$66,2,0),VLOOKUP($A12,'1.kolo'!$L$3:$O$66,4,0))</f>
        <v>35</v>
      </c>
      <c r="AH12" s="333">
        <f ca="1">IF(TYPE(VLOOKUP($A12,'1.kolo'!$L$3:$L$66,1,0))&gt;3,VLOOKUP($A12,'1.kolo'!$O$3:$Q$66,2,0),VLOOKUP($A12,'1.kolo'!$L$3:$N$66,2,0))</f>
        <v>1</v>
      </c>
      <c r="AI12" s="333">
        <f ca="1">IF(TYPE(VLOOKUP($A12,'1.kolo'!$L$3:$L$66,1,0))&gt;3,VLOOKUP($A12,'1.kolo'!$O$3:$Q$66,3,0),VLOOKUP($A12,'1.kolo'!$L$3:$N$66,3,0))</f>
        <v>10</v>
      </c>
      <c r="AJ12" s="333">
        <f t="shared" ca="1" si="19"/>
        <v>0</v>
      </c>
      <c r="AK12" s="333">
        <v>10</v>
      </c>
      <c r="AL12" s="442"/>
      <c r="AP12" s="333">
        <f ca="1">IF(TYPE(VLOOKUP($A12,'2.kolo'!$L$3:$L$66,1,0))&gt;3,IF(TYPE(VLOOKUP($A12,'2.kolo'!$K$3:$L$66,2,0))&gt;3,0,VLOOKUP($A12,'2.kolo'!$K$3:$L$66,2,0)),VLOOKUP($A12,'2.kolo'!$L$3:$O$66,4,0))</f>
        <v>4</v>
      </c>
      <c r="AQ12" s="333">
        <f ca="1">IF(TYPE(VLOOKUP($A12,'2.kolo'!$L$3:$L$66,1,0))&gt;3,IF(TYPE(VLOOKUP($A12,'2.kolo'!$O$3:$Q$66,2,0))&gt;3,0,VLOOKUP($A12,'2.kolo'!$O$3:$Q$66,2,0)),VLOOKUP($A12,'2.kolo'!$L$3:$N$66,2,0))</f>
        <v>0</v>
      </c>
      <c r="AR12" s="333">
        <f ca="1">IF(TYPE(VLOOKUP($A12,'2.kolo'!$L$3:$L$66,1,0))&gt;3,IF(TYPE(VLOOKUP($A12,'2.kolo'!$O$3:$Q$66,3,0))&gt;3,0,VLOOKUP($A12,'2.kolo'!$O$3:$Q$66,3,0)),VLOOKUP($A12,'2.kolo'!$L$3:$N$66,3,0))</f>
        <v>-2</v>
      </c>
      <c r="AS12" s="333">
        <f t="shared" ca="1" si="20"/>
        <v>0</v>
      </c>
      <c r="AT12" s="415">
        <v>22</v>
      </c>
      <c r="AU12" s="442" t="str">
        <f ca="1">IF(AT12="","",CONCATENATE(TEXT($O12,"0"),IF(Start.listina!$Y$5="","",TEXT(500+$P12,"000")),TEXT(999999*RAND(),"000000")))</f>
        <v>3603652</v>
      </c>
      <c r="AV12" s="333">
        <f t="shared" ca="1" si="3"/>
        <v>0</v>
      </c>
      <c r="AY12" s="333">
        <f ca="1">IF(TYPE(VLOOKUP($A12,'3.kolo'!$L$3:$L$66,1,0))&gt;3,IF(TYPE(VLOOKUP($A12,'3.kolo'!$K$3:$L$66,2,0))&gt;3,0,VLOOKUP($A12,'3.kolo'!$K$3:$L$66,2,0)),VLOOKUP($A12,'3.kolo'!$L$3:$O$66,4,0))</f>
        <v>39</v>
      </c>
      <c r="AZ12" s="333">
        <f ca="1">IF(TYPE(VLOOKUP($A12,'3.kolo'!$L$3:$L$66,1,0))&gt;3,IF(TYPE(VLOOKUP($A12,'3.kolo'!$O$3:$Q$66,2,0))&gt;3,0,VLOOKUP($A12,'3.kolo'!$O$3:$Q$66,2,0)),VLOOKUP($A12,'3.kolo'!$L$3:$N$66,2,0))</f>
        <v>1</v>
      </c>
      <c r="BA12" s="333">
        <f ca="1">IF(TYPE(VLOOKUP($A12,'3.kolo'!$L$3:$L$66,1,0))&gt;3,IF(TYPE(VLOOKUP($A12,'3.kolo'!$O$3:$Q$66,3,0))&gt;3,0,VLOOKUP($A12,'3.kolo'!$O$3:$Q$66,3,0)),VLOOKUP($A12,'3.kolo'!$L$3:$N$66,3,0))</f>
        <v>7</v>
      </c>
      <c r="BB12" s="333">
        <f t="shared" ca="1" si="21"/>
        <v>0</v>
      </c>
      <c r="BC12" s="415">
        <v>6</v>
      </c>
      <c r="BD12" s="442" t="str">
        <f ca="1">IF(BC12="","",CONCATENATE(TEXT($O12,"0"),IF(Start.listina!$Y$5="","",TEXT(500+$P12,"000")),TEXT(999999*RAND(),"000000")))</f>
        <v>3217595</v>
      </c>
      <c r="BE12" s="333">
        <f t="shared" ca="1" si="4"/>
        <v>0</v>
      </c>
      <c r="BH12" s="333">
        <f ca="1">IF(TYPE(VLOOKUP($A12,'4.kolo'!$L$3:$L$66,1,0))&gt;3,IF(TYPE(VLOOKUP($A12,'4.kolo'!$K$3:$L$66,2,0))&gt;3,0,VLOOKUP($A12,'4.kolo'!$K$3:$L$66,2,0)),VLOOKUP($A12,'4.kolo'!$L$3:$O$66,4,0))</f>
        <v>49</v>
      </c>
      <c r="BI12" s="333">
        <f ca="1">IF(TYPE(VLOOKUP($A12,'4.kolo'!$L$3:$L$66,1,0))&gt;3,IF(TYPE(VLOOKUP($A12,'4.kolo'!$O$3:$Q$66,2,0))&gt;3,0,VLOOKUP($A12,'4.kolo'!$O$3:$Q$66,2,0)),VLOOKUP($A12,'4.kolo'!$L$3:$N$66,2,0))</f>
        <v>1</v>
      </c>
      <c r="BJ12" s="333">
        <f ca="1">IF(TYPE(VLOOKUP($A12,'4.kolo'!$L$3:$L$66,1,0))&gt;3,IF(TYPE(VLOOKUP($A12,'4.kolo'!$O$3:$Q$66,3,0))&gt;3,0,VLOOKUP($A12,'4.kolo'!$O$3:$Q$66,3,0)),VLOOKUP($A12,'4.kolo'!$L$3:$N$66,3,0))</f>
        <v>11</v>
      </c>
      <c r="BK12" s="333">
        <f t="shared" ca="1" si="22"/>
        <v>0</v>
      </c>
      <c r="BL12" s="415">
        <v>44</v>
      </c>
      <c r="BM12" s="442" t="str">
        <f ca="1">IF(BL12="","",CONCATENATE(TEXT($O12,"0"),IF(Start.listina!$Y$5="","",TEXT(500+$P12,"000")),TEXT(999999*RAND(),"000000")))</f>
        <v>3679714</v>
      </c>
      <c r="BN12" s="333">
        <f t="shared" ca="1" si="5"/>
        <v>0</v>
      </c>
      <c r="BQ12" s="333">
        <f ca="1">IF(TYPE(VLOOKUP($A12,'5.kolo'!$L$3:$L$66,1,0))&gt;3,IF(TYPE(VLOOKUP($A12,'5.kolo'!$K$3:$L$66,2,0))&gt;3,0,VLOOKUP($A12,'5.kolo'!$K$3:$L$66,2,0)),VLOOKUP($A12,'5.kolo'!$L$3:$O$66,4,0))</f>
        <v>0</v>
      </c>
      <c r="BR12" s="333">
        <f ca="1">IF(TYPE(VLOOKUP($A12,'5.kolo'!$L$3:$L$66,1,0))&gt;3,IF(TYPE(VLOOKUP($A12,'5.kolo'!$O$3:$Q$66,2,0))&gt;3,0,VLOOKUP($A12,'5.kolo'!$O$3:$Q$66,2,0)),VLOOKUP($A12,'5.kolo'!$L$3:$N$66,2,0))</f>
        <v>0</v>
      </c>
      <c r="BS12" s="333">
        <f ca="1">IF(TYPE(VLOOKUP($A12,'5.kolo'!$L$3:$L$66,1,0))&gt;3,IF(TYPE(VLOOKUP($A12,'5.kolo'!$O$3:$Q$66,3,0))&gt;3,0,VLOOKUP($A12,'5.kolo'!$O$3:$Q$66,3,0)),VLOOKUP($A12,'5.kolo'!$L$3:$N$66,3,0))</f>
        <v>0</v>
      </c>
      <c r="BT12" s="333">
        <f t="shared" ca="1" si="23"/>
        <v>0</v>
      </c>
      <c r="BU12" s="415"/>
      <c r="BV12" s="442" t="str">
        <f ca="1">IF(BU12="","",CONCATENATE(TEXT($O12,"0"),IF(Start.listina!$Y$5="","",TEXT(500+$P12,"000")),TEXT(999999*RAND(),"000000")))</f>
        <v/>
      </c>
      <c r="BW12" s="333">
        <f t="shared" ca="1" si="6"/>
        <v>0</v>
      </c>
      <c r="BZ12" s="333">
        <f ca="1">IF(TYPE(VLOOKUP($A12,'6.kolo'!$L$3:$L$66,1,0))&gt;3,IF(TYPE(VLOOKUP($A12,'6.kolo'!$K$3:$L$66,2,0))&gt;3,0,VLOOKUP($A12,'6.kolo'!$K$3:$L$66,2,0)),VLOOKUP($A12,'6.kolo'!$L$3:$O$66,4,0))</f>
        <v>0</v>
      </c>
      <c r="CA12" s="333">
        <f ca="1">IF(TYPE(VLOOKUP($A12,'6.kolo'!$L$3:$L$66,1,0))&gt;3,IF(TYPE(VLOOKUP($A12,'6.kolo'!$O$3:$Q$66,2,0))&gt;3,0,VLOOKUP($A12,'6.kolo'!$O$3:$Q$66,2,0)),VLOOKUP($A12,'6.kolo'!$L$3:$N$66,2,0))</f>
        <v>0</v>
      </c>
      <c r="CB12" s="333">
        <f ca="1">IF(TYPE(VLOOKUP($A12,'6.kolo'!$L$3:$L$66,1,0))&gt;3,IF(TYPE(VLOOKUP($A12,'6.kolo'!$O$3:$Q$66,3,0))&gt;3,0,VLOOKUP($A12,'6.kolo'!$O$3:$Q$66,3,0)),VLOOKUP($A12,'6.kolo'!$L$3:$N$66,3,0))</f>
        <v>0</v>
      </c>
      <c r="CC12" s="333">
        <f t="shared" ca="1" si="24"/>
        <v>0</v>
      </c>
      <c r="CD12" s="415"/>
      <c r="CE12" s="442" t="str">
        <f ca="1">IF(CD12="","",CONCATENATE(TEXT($O12,"0"),IF(Start.listina!$Y$5="","",TEXT(500+$P12,"000")),TEXT(999999*RAND(),"000000")))</f>
        <v/>
      </c>
      <c r="CF12" s="333">
        <f t="shared" ca="1" si="7"/>
        <v>0</v>
      </c>
    </row>
    <row r="13" spans="1:84" x14ac:dyDescent="0.25">
      <c r="A13" s="333">
        <f>IF(OR(Start.listina!H21&gt;Start.listina!$K$7,Start.listina!G21=TRUE),"",Start.listina!H21)</f>
        <v>11</v>
      </c>
      <c r="B13" s="333">
        <f>IF($A13&gt;Start.listina!$K$7,"",INT(($A13-1)/Start.listina!$O$7)+1)</f>
        <v>1</v>
      </c>
      <c r="C13" s="439" t="str">
        <f>IF(OR(Start.listina!H21&gt;Start.listina!$K$7,Start.listina!G21=TRUE)," - ",Start.listina!AL21)</f>
        <v>11 PC Sokol Lipník - Froňková Blanka</v>
      </c>
      <c r="D13" s="333">
        <f>IF(OR(A13&gt;Start.listina!$K$7,TYPE(VLOOKUP(A13,$V$3:$X$130,3,0))&gt;3),"",VLOOKUP(A13,$V$3:$X$130,3,0))</f>
        <v>3</v>
      </c>
      <c r="E13" s="440">
        <f ca="1">IF(A13&gt;Start.listina!$K$7,"",IF(MIN(F13:K13)&gt;Start.listina!$Y$4,D13,MIN(F13:K13)))</f>
        <v>6</v>
      </c>
      <c r="F13" s="333">
        <f ca="1">IF(TYPE(VLOOKUP(C13,Konečné_pořadí_1_16!$B$2:$D$17,3,0))&lt;4,VLOOKUP(C13,Konečné_pořadí_1_16!$B$2:$D$17,3,0),999)</f>
        <v>6</v>
      </c>
      <c r="G13" s="333">
        <f ca="1">IF(TYPE(VLOOKUP(C13,'KO64'!$D$4:$D$129,1,0))&lt;4,64,999)</f>
        <v>64</v>
      </c>
      <c r="H13" s="333">
        <f ca="1">IF(TYPE(VLOOKUP(C13,'KO32'!$D$4:$D$65,1,0))&lt;4,32,999)</f>
        <v>32</v>
      </c>
      <c r="I13" s="333">
        <f ca="1">IF(TYPE(VLOOKUP(C13,'KO16'!$D$4:$D$33,1,0))&lt;4,16,999)</f>
        <v>16</v>
      </c>
      <c r="J13" s="333">
        <f ca="1">IF(TYPE(VLOOKUP(C13,'KO8'!$D$4:$D$17,1,0))&lt;4,8,999)</f>
        <v>8</v>
      </c>
      <c r="K13" s="333">
        <f ca="1">IF(TYPE(VLOOKUP(C13,'KO4'!$D$4:$D$9,1,0))&lt;4,4,999)</f>
        <v>999</v>
      </c>
      <c r="M13" s="334">
        <v>11</v>
      </c>
      <c r="O13" s="333">
        <f t="shared" ca="1" si="8"/>
        <v>4</v>
      </c>
      <c r="P13" s="333">
        <f t="shared" ca="1" si="9"/>
        <v>29</v>
      </c>
      <c r="Q13" s="333">
        <f t="shared" ca="1" si="0"/>
        <v>9</v>
      </c>
      <c r="R13" s="333">
        <f t="shared" ca="1" si="1"/>
        <v>9</v>
      </c>
      <c r="S13" s="333">
        <f t="shared" ca="1" si="10"/>
        <v>36</v>
      </c>
      <c r="T13" s="333">
        <f t="shared" ca="1" si="11"/>
        <v>0</v>
      </c>
      <c r="U13" s="415">
        <f t="shared" si="25"/>
        <v>11</v>
      </c>
      <c r="V13" s="415">
        <v>1</v>
      </c>
      <c r="W13" s="441" t="str">
        <f ca="1">IF($V13="","",CONCATENATE(TEXT($O13,"0"),IF(Start.listina!$Y$5="","",TEXT(500+$P13,"0000")),IF(Start.listina!$Y$6="","",CHOOSE(Start.listina!$Y$7,TEXT($Q13,"00"),CONCATENATE(TEXT($Q13,"00"),TEXT($S13,"000")), TEXT($R13,"00"))),TEXT(500+$P13,"0000"),IF(Start.listina!$Y$8="","",TEXT($T13,"0")),TEXT(999999*RAND(),"000000")))</f>
        <v>4090360529064796</v>
      </c>
      <c r="X13" s="417">
        <f t="shared" si="12"/>
        <v>11</v>
      </c>
      <c r="Y13" s="415">
        <f t="shared" ca="1" si="2"/>
        <v>3</v>
      </c>
      <c r="Z13" s="333">
        <f t="shared" ca="1" si="13"/>
        <v>36</v>
      </c>
      <c r="AA13" s="333">
        <f t="shared" ca="1" si="14"/>
        <v>7</v>
      </c>
      <c r="AB13" s="333">
        <f t="shared" ca="1" si="15"/>
        <v>22</v>
      </c>
      <c r="AC13" s="333">
        <f t="shared" ca="1" si="16"/>
        <v>43</v>
      </c>
      <c r="AD13" s="333">
        <f t="shared" ca="1" si="17"/>
        <v>0</v>
      </c>
      <c r="AE13" s="333">
        <f t="shared" ca="1" si="18"/>
        <v>0</v>
      </c>
      <c r="AG13" s="333">
        <f ca="1">IF(TYPE(VLOOKUP($A13,'1.kolo'!$L$3:$L$66,1,0))&gt;3,VLOOKUP($A13,'1.kolo'!$K$3:$L$66,2,0),VLOOKUP($A13,'1.kolo'!$L$3:$O$66,4,0))</f>
        <v>36</v>
      </c>
      <c r="AH13" s="333">
        <f ca="1">IF(TYPE(VLOOKUP($A13,'1.kolo'!$L$3:$L$66,1,0))&gt;3,VLOOKUP($A13,'1.kolo'!$O$3:$Q$66,2,0),VLOOKUP($A13,'1.kolo'!$L$3:$N$66,2,0))</f>
        <v>1</v>
      </c>
      <c r="AI13" s="333">
        <f ca="1">IF(TYPE(VLOOKUP($A13,'1.kolo'!$L$3:$L$66,1,0))&gt;3,VLOOKUP($A13,'1.kolo'!$O$3:$Q$66,3,0),VLOOKUP($A13,'1.kolo'!$L$3:$N$66,3,0))</f>
        <v>6</v>
      </c>
      <c r="AJ13" s="333">
        <f t="shared" ca="1" si="19"/>
        <v>0</v>
      </c>
      <c r="AK13" s="333">
        <v>11</v>
      </c>
      <c r="AL13" s="442"/>
      <c r="AP13" s="333">
        <f ca="1">IF(TYPE(VLOOKUP($A13,'2.kolo'!$L$3:$L$66,1,0))&gt;3,IF(TYPE(VLOOKUP($A13,'2.kolo'!$K$3:$L$66,2,0))&gt;3,0,VLOOKUP($A13,'2.kolo'!$K$3:$L$66,2,0)),VLOOKUP($A13,'2.kolo'!$L$3:$O$66,4,0))</f>
        <v>7</v>
      </c>
      <c r="AQ13" s="333">
        <f ca="1">IF(TYPE(VLOOKUP($A13,'2.kolo'!$L$3:$L$66,1,0))&gt;3,IF(TYPE(VLOOKUP($A13,'2.kolo'!$O$3:$Q$66,2,0))&gt;3,0,VLOOKUP($A13,'2.kolo'!$O$3:$Q$66,2,0)),VLOOKUP($A13,'2.kolo'!$L$3:$N$66,2,0))</f>
        <v>1</v>
      </c>
      <c r="AR13" s="333">
        <f ca="1">IF(TYPE(VLOOKUP($A13,'2.kolo'!$L$3:$L$66,1,0))&gt;3,IF(TYPE(VLOOKUP($A13,'2.kolo'!$O$3:$Q$66,3,0))&gt;3,0,VLOOKUP($A13,'2.kolo'!$O$3:$Q$66,3,0)),VLOOKUP($A13,'2.kolo'!$L$3:$N$66,3,0))</f>
        <v>9</v>
      </c>
      <c r="AS13" s="333">
        <f t="shared" ca="1" si="20"/>
        <v>0</v>
      </c>
      <c r="AT13" s="415">
        <v>13</v>
      </c>
      <c r="AU13" s="442" t="str">
        <f ca="1">IF(AT13="","",CONCATENATE(TEXT($O13,"0"),IF(Start.listina!$Y$5="","",TEXT(500+$P13,"000")),TEXT(999999*RAND(),"000000")))</f>
        <v>4395039</v>
      </c>
      <c r="AV13" s="333">
        <f t="shared" ca="1" si="3"/>
        <v>0</v>
      </c>
      <c r="AY13" s="333">
        <f ca="1">IF(TYPE(VLOOKUP($A13,'3.kolo'!$L$3:$L$66,1,0))&gt;3,IF(TYPE(VLOOKUP($A13,'3.kolo'!$K$3:$L$66,2,0))&gt;3,0,VLOOKUP($A13,'3.kolo'!$K$3:$L$66,2,0)),VLOOKUP($A13,'3.kolo'!$L$3:$O$66,4,0))</f>
        <v>22</v>
      </c>
      <c r="AZ13" s="333">
        <f ca="1">IF(TYPE(VLOOKUP($A13,'3.kolo'!$L$3:$L$66,1,0))&gt;3,IF(TYPE(VLOOKUP($A13,'3.kolo'!$O$3:$Q$66,2,0))&gt;3,0,VLOOKUP($A13,'3.kolo'!$O$3:$Q$66,2,0)),VLOOKUP($A13,'3.kolo'!$L$3:$N$66,2,0))</f>
        <v>1</v>
      </c>
      <c r="BA13" s="333">
        <f ca="1">IF(TYPE(VLOOKUP($A13,'3.kolo'!$L$3:$L$66,1,0))&gt;3,IF(TYPE(VLOOKUP($A13,'3.kolo'!$O$3:$Q$66,3,0))&gt;3,0,VLOOKUP($A13,'3.kolo'!$O$3:$Q$66,3,0)),VLOOKUP($A13,'3.kolo'!$L$3:$N$66,3,0))</f>
        <v>9</v>
      </c>
      <c r="BB13" s="333">
        <f t="shared" ca="1" si="21"/>
        <v>0</v>
      </c>
      <c r="BC13" s="415">
        <v>43</v>
      </c>
      <c r="BD13" s="442" t="str">
        <f ca="1">IF(BC13="","",CONCATENATE(TEXT($O13,"0"),IF(Start.listina!$Y$5="","",TEXT(500+$P13,"000")),TEXT(999999*RAND(),"000000")))</f>
        <v>4323462</v>
      </c>
      <c r="BE13" s="333">
        <f t="shared" ca="1" si="4"/>
        <v>0</v>
      </c>
      <c r="BH13" s="333">
        <f ca="1">IF(TYPE(VLOOKUP($A13,'4.kolo'!$L$3:$L$66,1,0))&gt;3,IF(TYPE(VLOOKUP($A13,'4.kolo'!$K$3:$L$66,2,0))&gt;3,0,VLOOKUP($A13,'4.kolo'!$K$3:$L$66,2,0)),VLOOKUP($A13,'4.kolo'!$L$3:$O$66,4,0))</f>
        <v>43</v>
      </c>
      <c r="BI13" s="333">
        <f ca="1">IF(TYPE(VLOOKUP($A13,'4.kolo'!$L$3:$L$66,1,0))&gt;3,IF(TYPE(VLOOKUP($A13,'4.kolo'!$O$3:$Q$66,2,0))&gt;3,0,VLOOKUP($A13,'4.kolo'!$O$3:$Q$66,2,0)),VLOOKUP($A13,'4.kolo'!$L$3:$N$66,2,0))</f>
        <v>1</v>
      </c>
      <c r="BJ13" s="333">
        <f ca="1">IF(TYPE(VLOOKUP($A13,'4.kolo'!$L$3:$L$66,1,0))&gt;3,IF(TYPE(VLOOKUP($A13,'4.kolo'!$O$3:$Q$66,3,0))&gt;3,0,VLOOKUP($A13,'4.kolo'!$O$3:$Q$66,3,0)),VLOOKUP($A13,'4.kolo'!$L$3:$N$66,3,0))</f>
        <v>5</v>
      </c>
      <c r="BK13" s="333">
        <f t="shared" ca="1" si="22"/>
        <v>0</v>
      </c>
      <c r="BL13" s="415">
        <v>22</v>
      </c>
      <c r="BM13" s="442" t="str">
        <f ca="1">IF(BL13="","",CONCATENATE(TEXT($O13,"0"),IF(Start.listina!$Y$5="","",TEXT(500+$P13,"000")),TEXT(999999*RAND(),"000000")))</f>
        <v>4825159</v>
      </c>
      <c r="BN13" s="333">
        <f t="shared" ca="1" si="5"/>
        <v>0</v>
      </c>
      <c r="BQ13" s="333">
        <f ca="1">IF(TYPE(VLOOKUP($A13,'5.kolo'!$L$3:$L$66,1,0))&gt;3,IF(TYPE(VLOOKUP($A13,'5.kolo'!$K$3:$L$66,2,0))&gt;3,0,VLOOKUP($A13,'5.kolo'!$K$3:$L$66,2,0)),VLOOKUP($A13,'5.kolo'!$L$3:$O$66,4,0))</f>
        <v>0</v>
      </c>
      <c r="BR13" s="333">
        <f ca="1">IF(TYPE(VLOOKUP($A13,'5.kolo'!$L$3:$L$66,1,0))&gt;3,IF(TYPE(VLOOKUP($A13,'5.kolo'!$O$3:$Q$66,2,0))&gt;3,0,VLOOKUP($A13,'5.kolo'!$O$3:$Q$66,2,0)),VLOOKUP($A13,'5.kolo'!$L$3:$N$66,2,0))</f>
        <v>0</v>
      </c>
      <c r="BS13" s="333">
        <f ca="1">IF(TYPE(VLOOKUP($A13,'5.kolo'!$L$3:$L$66,1,0))&gt;3,IF(TYPE(VLOOKUP($A13,'5.kolo'!$O$3:$Q$66,3,0))&gt;3,0,VLOOKUP($A13,'5.kolo'!$O$3:$Q$66,3,0)),VLOOKUP($A13,'5.kolo'!$L$3:$N$66,3,0))</f>
        <v>0</v>
      </c>
      <c r="BT13" s="333">
        <f t="shared" ca="1" si="23"/>
        <v>0</v>
      </c>
      <c r="BU13" s="415"/>
      <c r="BV13" s="442" t="str">
        <f ca="1">IF(BU13="","",CONCATENATE(TEXT($O13,"0"),IF(Start.listina!$Y$5="","",TEXT(500+$P13,"000")),TEXT(999999*RAND(),"000000")))</f>
        <v/>
      </c>
      <c r="BW13" s="333">
        <f t="shared" ca="1" si="6"/>
        <v>0</v>
      </c>
      <c r="BZ13" s="333">
        <f ca="1">IF(TYPE(VLOOKUP($A13,'6.kolo'!$L$3:$L$66,1,0))&gt;3,IF(TYPE(VLOOKUP($A13,'6.kolo'!$K$3:$L$66,2,0))&gt;3,0,VLOOKUP($A13,'6.kolo'!$K$3:$L$66,2,0)),VLOOKUP($A13,'6.kolo'!$L$3:$O$66,4,0))</f>
        <v>0</v>
      </c>
      <c r="CA13" s="333">
        <f ca="1">IF(TYPE(VLOOKUP($A13,'6.kolo'!$L$3:$L$66,1,0))&gt;3,IF(TYPE(VLOOKUP($A13,'6.kolo'!$O$3:$Q$66,2,0))&gt;3,0,VLOOKUP($A13,'6.kolo'!$O$3:$Q$66,2,0)),VLOOKUP($A13,'6.kolo'!$L$3:$N$66,2,0))</f>
        <v>0</v>
      </c>
      <c r="CB13" s="333">
        <f ca="1">IF(TYPE(VLOOKUP($A13,'6.kolo'!$L$3:$L$66,1,0))&gt;3,IF(TYPE(VLOOKUP($A13,'6.kolo'!$O$3:$Q$66,3,0))&gt;3,0,VLOOKUP($A13,'6.kolo'!$O$3:$Q$66,3,0)),VLOOKUP($A13,'6.kolo'!$L$3:$N$66,3,0))</f>
        <v>0</v>
      </c>
      <c r="CC13" s="333">
        <f t="shared" ca="1" si="24"/>
        <v>0</v>
      </c>
      <c r="CD13" s="415"/>
      <c r="CE13" s="442" t="str">
        <f ca="1">IF(CD13="","",CONCATENATE(TEXT($O13,"0"),IF(Start.listina!$Y$5="","",TEXT(500+$P13,"000")),TEXT(999999*RAND(),"000000")))</f>
        <v/>
      </c>
      <c r="CF13" s="333">
        <f t="shared" ca="1" si="7"/>
        <v>0</v>
      </c>
    </row>
    <row r="14" spans="1:84" x14ac:dyDescent="0.25">
      <c r="A14" s="333">
        <f>IF(OR(Start.listina!H22&gt;Start.listina!$K$7,Start.listina!G22=TRUE),"",Start.listina!H22)</f>
        <v>12</v>
      </c>
      <c r="B14" s="333">
        <f>IF($A14&gt;Start.listina!$K$7,"",INT(($A14-1)/Start.listina!$O$7)+1)</f>
        <v>1</v>
      </c>
      <c r="C14" s="439" t="str">
        <f>IF(OR(Start.listina!H22&gt;Start.listina!$K$7,Start.listina!G22=TRUE)," - ",Start.listina!AL22)</f>
        <v>12 CdP Loděnice - Marhoul Jan</v>
      </c>
      <c r="D14" s="333">
        <f>IF(OR(A14&gt;Start.listina!$K$7,TYPE(VLOOKUP(A14,$V$3:$X$130,3,0))&gt;3),"",VLOOKUP(A14,$V$3:$X$130,3,0))</f>
        <v>15</v>
      </c>
      <c r="E14" s="440">
        <f ca="1">IF(A14&gt;Start.listina!$K$7,"",IF(MIN(F14:K14)&gt;Start.listina!$Y$4,D14,MIN(F14:K14)))</f>
        <v>9</v>
      </c>
      <c r="F14" s="333">
        <f ca="1">IF(TYPE(VLOOKUP(C14,Konečné_pořadí_1_16!$B$2:$D$17,3,0))&lt;4,VLOOKUP(C14,Konečné_pořadí_1_16!$B$2:$D$17,3,0),999)</f>
        <v>9</v>
      </c>
      <c r="G14" s="333">
        <f ca="1">IF(TYPE(VLOOKUP(C14,'KO64'!$D$4:$D$129,1,0))&lt;4,64,999)</f>
        <v>64</v>
      </c>
      <c r="H14" s="333">
        <f ca="1">IF(TYPE(VLOOKUP(C14,'KO32'!$D$4:$D$65,1,0))&lt;4,32,999)</f>
        <v>32</v>
      </c>
      <c r="I14" s="333">
        <f ca="1">IF(TYPE(VLOOKUP(C14,'KO16'!$D$4:$D$33,1,0))&lt;4,16,999)</f>
        <v>16</v>
      </c>
      <c r="J14" s="333">
        <f ca="1">IF(TYPE(VLOOKUP(C14,'KO8'!$D$4:$D$17,1,0))&lt;4,8,999)</f>
        <v>999</v>
      </c>
      <c r="K14" s="333">
        <f ca="1">IF(TYPE(VLOOKUP(C14,'KO4'!$D$4:$D$9,1,0))&lt;4,4,999)</f>
        <v>999</v>
      </c>
      <c r="M14" s="334">
        <v>12</v>
      </c>
      <c r="O14" s="333">
        <f t="shared" ca="1" si="8"/>
        <v>3</v>
      </c>
      <c r="P14" s="333">
        <f t="shared" ca="1" si="9"/>
        <v>16</v>
      </c>
      <c r="Q14" s="333">
        <f t="shared" ca="1" si="0"/>
        <v>8</v>
      </c>
      <c r="R14" s="333">
        <f t="shared" ca="1" si="1"/>
        <v>4</v>
      </c>
      <c r="S14" s="333">
        <f t="shared" ca="1" si="10"/>
        <v>31</v>
      </c>
      <c r="T14" s="333">
        <f t="shared" ca="1" si="11"/>
        <v>0</v>
      </c>
      <c r="U14" s="415">
        <f t="shared" si="25"/>
        <v>12</v>
      </c>
      <c r="V14" s="415">
        <v>3</v>
      </c>
      <c r="W14" s="441" t="str">
        <f ca="1">IF($V14="","",CONCATENATE(TEXT($O14,"0"),IF(Start.listina!$Y$5="","",TEXT(500+$P14,"0000")),IF(Start.listina!$Y$6="","",CHOOSE(Start.listina!$Y$7,TEXT($Q14,"00"),CONCATENATE(TEXT($Q14,"00"),TEXT($S14,"000")), TEXT($R14,"00"))),TEXT(500+$P14,"0000"),IF(Start.listina!$Y$8="","",TEXT($T14,"0")),TEXT(999999*RAND(),"000000")))</f>
        <v>3080310516696244</v>
      </c>
      <c r="X14" s="417">
        <f t="shared" si="12"/>
        <v>12</v>
      </c>
      <c r="Y14" s="415">
        <f t="shared" ca="1" si="2"/>
        <v>3</v>
      </c>
      <c r="Z14" s="333">
        <f t="shared" ca="1" si="13"/>
        <v>37</v>
      </c>
      <c r="AA14" s="333">
        <f t="shared" ca="1" si="14"/>
        <v>51</v>
      </c>
      <c r="AB14" s="333">
        <f t="shared" ca="1" si="15"/>
        <v>28</v>
      </c>
      <c r="AC14" s="333">
        <f t="shared" ca="1" si="16"/>
        <v>6</v>
      </c>
      <c r="AD14" s="333">
        <f t="shared" ca="1" si="17"/>
        <v>0</v>
      </c>
      <c r="AE14" s="333">
        <f t="shared" ca="1" si="18"/>
        <v>0</v>
      </c>
      <c r="AG14" s="333">
        <f ca="1">IF(TYPE(VLOOKUP($A14,'1.kolo'!$L$3:$L$66,1,0))&gt;3,VLOOKUP($A14,'1.kolo'!$K$3:$L$66,2,0),VLOOKUP($A14,'1.kolo'!$L$3:$O$66,4,0))</f>
        <v>37</v>
      </c>
      <c r="AH14" s="333">
        <f ca="1">IF(TYPE(VLOOKUP($A14,'1.kolo'!$L$3:$L$66,1,0))&gt;3,VLOOKUP($A14,'1.kolo'!$O$3:$Q$66,2,0),VLOOKUP($A14,'1.kolo'!$L$3:$N$66,2,0))</f>
        <v>1</v>
      </c>
      <c r="AI14" s="333">
        <f ca="1">IF(TYPE(VLOOKUP($A14,'1.kolo'!$L$3:$L$66,1,0))&gt;3,VLOOKUP($A14,'1.kolo'!$O$3:$Q$66,3,0),VLOOKUP($A14,'1.kolo'!$L$3:$N$66,3,0))</f>
        <v>6</v>
      </c>
      <c r="AJ14" s="333">
        <f t="shared" ca="1" si="19"/>
        <v>0</v>
      </c>
      <c r="AK14" s="333">
        <v>12</v>
      </c>
      <c r="AL14" s="442"/>
      <c r="AP14" s="333">
        <f ca="1">IF(TYPE(VLOOKUP($A14,'2.kolo'!$L$3:$L$66,1,0))&gt;3,IF(TYPE(VLOOKUP($A14,'2.kolo'!$K$3:$L$66,2,0))&gt;3,0,VLOOKUP($A14,'2.kolo'!$K$3:$L$66,2,0)),VLOOKUP($A14,'2.kolo'!$L$3:$O$66,4,0))</f>
        <v>51</v>
      </c>
      <c r="AQ14" s="333">
        <f ca="1">IF(TYPE(VLOOKUP($A14,'2.kolo'!$L$3:$L$66,1,0))&gt;3,IF(TYPE(VLOOKUP($A14,'2.kolo'!$O$3:$Q$66,2,0))&gt;3,0,VLOOKUP($A14,'2.kolo'!$O$3:$Q$66,2,0)),VLOOKUP($A14,'2.kolo'!$L$3:$N$66,2,0))</f>
        <v>1</v>
      </c>
      <c r="AR14" s="333">
        <f ca="1">IF(TYPE(VLOOKUP($A14,'2.kolo'!$L$3:$L$66,1,0))&gt;3,IF(TYPE(VLOOKUP($A14,'2.kolo'!$O$3:$Q$66,3,0))&gt;3,0,VLOOKUP($A14,'2.kolo'!$O$3:$Q$66,3,0)),VLOOKUP($A14,'2.kolo'!$L$3:$N$66,3,0))</f>
        <v>8</v>
      </c>
      <c r="AS14" s="333">
        <f t="shared" ca="1" si="20"/>
        <v>0</v>
      </c>
      <c r="AT14" s="415">
        <v>3</v>
      </c>
      <c r="AU14" s="442" t="str">
        <f ca="1">IF(AT14="","",CONCATENATE(TEXT($O14,"0"),IF(Start.listina!$Y$5="","",TEXT(500+$P14,"000")),TEXT(999999*RAND(),"000000")))</f>
        <v>3143059</v>
      </c>
      <c r="AV14" s="333">
        <f t="shared" ca="1" si="3"/>
        <v>0</v>
      </c>
      <c r="AY14" s="333">
        <f ca="1">IF(TYPE(VLOOKUP($A14,'3.kolo'!$L$3:$L$66,1,0))&gt;3,IF(TYPE(VLOOKUP($A14,'3.kolo'!$K$3:$L$66,2,0))&gt;3,0,VLOOKUP($A14,'3.kolo'!$K$3:$L$66,2,0)),VLOOKUP($A14,'3.kolo'!$L$3:$O$66,4,0))</f>
        <v>28</v>
      </c>
      <c r="AZ14" s="333">
        <f ca="1">IF(TYPE(VLOOKUP($A14,'3.kolo'!$L$3:$L$66,1,0))&gt;3,IF(TYPE(VLOOKUP($A14,'3.kolo'!$O$3:$Q$66,2,0))&gt;3,0,VLOOKUP($A14,'3.kolo'!$O$3:$Q$66,2,0)),VLOOKUP($A14,'3.kolo'!$L$3:$N$66,2,0))</f>
        <v>1</v>
      </c>
      <c r="BA14" s="333">
        <f ca="1">IF(TYPE(VLOOKUP($A14,'3.kolo'!$L$3:$L$66,1,0))&gt;3,IF(TYPE(VLOOKUP($A14,'3.kolo'!$O$3:$Q$66,3,0))&gt;3,0,VLOOKUP($A14,'3.kolo'!$O$3:$Q$66,3,0)),VLOOKUP($A14,'3.kolo'!$L$3:$N$66,3,0))</f>
        <v>10</v>
      </c>
      <c r="BB14" s="333">
        <f t="shared" ca="1" si="21"/>
        <v>0</v>
      </c>
      <c r="BC14" s="415">
        <v>24</v>
      </c>
      <c r="BD14" s="442" t="str">
        <f ca="1">IF(BC14="","",CONCATENATE(TEXT($O14,"0"),IF(Start.listina!$Y$5="","",TEXT(500+$P14,"000")),TEXT(999999*RAND(),"000000")))</f>
        <v>3857624</v>
      </c>
      <c r="BE14" s="333">
        <f t="shared" ca="1" si="4"/>
        <v>0</v>
      </c>
      <c r="BH14" s="333">
        <f ca="1">IF(TYPE(VLOOKUP($A14,'4.kolo'!$L$3:$L$66,1,0))&gt;3,IF(TYPE(VLOOKUP($A14,'4.kolo'!$K$3:$L$66,2,0))&gt;3,0,VLOOKUP($A14,'4.kolo'!$K$3:$L$66,2,0)),VLOOKUP($A14,'4.kolo'!$L$3:$O$66,4,0))</f>
        <v>6</v>
      </c>
      <c r="BI14" s="333">
        <f ca="1">IF(TYPE(VLOOKUP($A14,'4.kolo'!$L$3:$L$66,1,0))&gt;3,IF(TYPE(VLOOKUP($A14,'4.kolo'!$O$3:$Q$66,2,0))&gt;3,0,VLOOKUP($A14,'4.kolo'!$O$3:$Q$66,2,0)),VLOOKUP($A14,'4.kolo'!$L$3:$N$66,2,0))</f>
        <v>0</v>
      </c>
      <c r="BJ14" s="333">
        <f ca="1">IF(TYPE(VLOOKUP($A14,'4.kolo'!$L$3:$L$66,1,0))&gt;3,IF(TYPE(VLOOKUP($A14,'4.kolo'!$O$3:$Q$66,3,0))&gt;3,0,VLOOKUP($A14,'4.kolo'!$O$3:$Q$66,3,0)),VLOOKUP($A14,'4.kolo'!$L$3:$N$66,3,0))</f>
        <v>-8</v>
      </c>
      <c r="BK14" s="333">
        <f t="shared" ca="1" si="22"/>
        <v>0</v>
      </c>
      <c r="BL14" s="415">
        <v>24</v>
      </c>
      <c r="BM14" s="442" t="str">
        <f ca="1">IF(BL14="","",CONCATENATE(TEXT($O14,"0"),IF(Start.listina!$Y$5="","",TEXT(500+$P14,"000")),TEXT(999999*RAND(),"000000")))</f>
        <v>3459728</v>
      </c>
      <c r="BN14" s="333">
        <f t="shared" ca="1" si="5"/>
        <v>0</v>
      </c>
      <c r="BQ14" s="333">
        <f ca="1">IF(TYPE(VLOOKUP($A14,'5.kolo'!$L$3:$L$66,1,0))&gt;3,IF(TYPE(VLOOKUP($A14,'5.kolo'!$K$3:$L$66,2,0))&gt;3,0,VLOOKUP($A14,'5.kolo'!$K$3:$L$66,2,0)),VLOOKUP($A14,'5.kolo'!$L$3:$O$66,4,0))</f>
        <v>0</v>
      </c>
      <c r="BR14" s="333">
        <f ca="1">IF(TYPE(VLOOKUP($A14,'5.kolo'!$L$3:$L$66,1,0))&gt;3,IF(TYPE(VLOOKUP($A14,'5.kolo'!$O$3:$Q$66,2,0))&gt;3,0,VLOOKUP($A14,'5.kolo'!$O$3:$Q$66,2,0)),VLOOKUP($A14,'5.kolo'!$L$3:$N$66,2,0))</f>
        <v>0</v>
      </c>
      <c r="BS14" s="333">
        <f ca="1">IF(TYPE(VLOOKUP($A14,'5.kolo'!$L$3:$L$66,1,0))&gt;3,IF(TYPE(VLOOKUP($A14,'5.kolo'!$O$3:$Q$66,3,0))&gt;3,0,VLOOKUP($A14,'5.kolo'!$O$3:$Q$66,3,0)),VLOOKUP($A14,'5.kolo'!$L$3:$N$66,3,0))</f>
        <v>0</v>
      </c>
      <c r="BT14" s="333">
        <f t="shared" ca="1" si="23"/>
        <v>0</v>
      </c>
      <c r="BU14" s="415"/>
      <c r="BV14" s="442" t="str">
        <f ca="1">IF(BU14="","",CONCATENATE(TEXT($O14,"0"),IF(Start.listina!$Y$5="","",TEXT(500+$P14,"000")),TEXT(999999*RAND(),"000000")))</f>
        <v/>
      </c>
      <c r="BW14" s="333">
        <f t="shared" ca="1" si="6"/>
        <v>0</v>
      </c>
      <c r="BZ14" s="333">
        <f ca="1">IF(TYPE(VLOOKUP($A14,'6.kolo'!$L$3:$L$66,1,0))&gt;3,IF(TYPE(VLOOKUP($A14,'6.kolo'!$K$3:$L$66,2,0))&gt;3,0,VLOOKUP($A14,'6.kolo'!$K$3:$L$66,2,0)),VLOOKUP($A14,'6.kolo'!$L$3:$O$66,4,0))</f>
        <v>0</v>
      </c>
      <c r="CA14" s="333">
        <f ca="1">IF(TYPE(VLOOKUP($A14,'6.kolo'!$L$3:$L$66,1,0))&gt;3,IF(TYPE(VLOOKUP($A14,'6.kolo'!$O$3:$Q$66,2,0))&gt;3,0,VLOOKUP($A14,'6.kolo'!$O$3:$Q$66,2,0)),VLOOKUP($A14,'6.kolo'!$L$3:$N$66,2,0))</f>
        <v>0</v>
      </c>
      <c r="CB14" s="333">
        <f ca="1">IF(TYPE(VLOOKUP($A14,'6.kolo'!$L$3:$L$66,1,0))&gt;3,IF(TYPE(VLOOKUP($A14,'6.kolo'!$O$3:$Q$66,3,0))&gt;3,0,VLOOKUP($A14,'6.kolo'!$O$3:$Q$66,3,0)),VLOOKUP($A14,'6.kolo'!$L$3:$N$66,3,0))</f>
        <v>0</v>
      </c>
      <c r="CC14" s="333">
        <f t="shared" ca="1" si="24"/>
        <v>0</v>
      </c>
      <c r="CD14" s="415"/>
      <c r="CE14" s="442" t="str">
        <f ca="1">IF(CD14="","",CONCATENATE(TEXT($O14,"0"),IF(Start.listina!$Y$5="","",TEXT(500+$P14,"000")),TEXT(999999*RAND(),"000000")))</f>
        <v/>
      </c>
      <c r="CF14" s="333">
        <f t="shared" ca="1" si="7"/>
        <v>0</v>
      </c>
    </row>
    <row r="15" spans="1:84" x14ac:dyDescent="0.25">
      <c r="A15" s="333">
        <f>IF(OR(Start.listina!H23&gt;Start.listina!$K$7,Start.listina!G23=TRUE),"",Start.listina!H23)</f>
        <v>13</v>
      </c>
      <c r="B15" s="333">
        <f>IF($A15&gt;Start.listina!$K$7,"",INT(($A15-1)/Start.listina!$O$7)+1)</f>
        <v>1</v>
      </c>
      <c r="C15" s="439" t="str">
        <f>IF(OR(Start.listina!H23&gt;Start.listina!$K$7,Start.listina!G23=TRUE)," - ",Start.listina!AL23)</f>
        <v>13 PC Sokol Lipník - Fafková Jana</v>
      </c>
      <c r="D15" s="333">
        <f>IF(OR(A15&gt;Start.listina!$K$7,TYPE(VLOOKUP(A15,$V$3:$X$130,3,0))&gt;3),"",VLOOKUP(A15,$V$3:$X$130,3,0))</f>
        <v>25</v>
      </c>
      <c r="E15" s="440">
        <f ca="1">IF(A15&gt;Start.listina!$K$7,"",IF(MIN(F15:K15)&gt;Start.listina!$Y$4,D15,MIN(F15:K15)))</f>
        <v>25</v>
      </c>
      <c r="F15" s="333">
        <f ca="1">IF(TYPE(VLOOKUP(C15,Konečné_pořadí_1_16!$B$2:$D$17,3,0))&lt;4,VLOOKUP(C15,Konečné_pořadí_1_16!$B$2:$D$17,3,0),999)</f>
        <v>999</v>
      </c>
      <c r="G15" s="333">
        <f ca="1">IF(TYPE(VLOOKUP(C15,'KO64'!$D$4:$D$129,1,0))&lt;4,64,999)</f>
        <v>999</v>
      </c>
      <c r="H15" s="333">
        <f ca="1">IF(TYPE(VLOOKUP(C15,'KO32'!$D$4:$D$65,1,0))&lt;4,32,999)</f>
        <v>999</v>
      </c>
      <c r="I15" s="333">
        <f ca="1">IF(TYPE(VLOOKUP(C15,'KO16'!$D$4:$D$33,1,0))&lt;4,16,999)</f>
        <v>999</v>
      </c>
      <c r="J15" s="333">
        <f ca="1">IF(TYPE(VLOOKUP(C15,'KO8'!$D$4:$D$17,1,0))&lt;4,8,999)</f>
        <v>999</v>
      </c>
      <c r="K15" s="333">
        <f ca="1">IF(TYPE(VLOOKUP(C15,'KO4'!$D$4:$D$9,1,0))&lt;4,4,999)</f>
        <v>999</v>
      </c>
      <c r="M15" s="334">
        <v>13</v>
      </c>
      <c r="O15" s="333">
        <f t="shared" ca="1" si="8"/>
        <v>2</v>
      </c>
      <c r="P15" s="333">
        <f t="shared" ca="1" si="9"/>
        <v>-18</v>
      </c>
      <c r="Q15" s="333">
        <f t="shared" ca="1" si="0"/>
        <v>9</v>
      </c>
      <c r="R15" s="333">
        <f t="shared" ca="1" si="1"/>
        <v>3</v>
      </c>
      <c r="S15" s="333">
        <f t="shared" ca="1" si="10"/>
        <v>28</v>
      </c>
      <c r="T15" s="333">
        <f t="shared" ca="1" si="11"/>
        <v>0</v>
      </c>
      <c r="U15" s="415">
        <f t="shared" si="25"/>
        <v>13</v>
      </c>
      <c r="V15" s="415">
        <v>16</v>
      </c>
      <c r="W15" s="441" t="str">
        <f ca="1">IF($V15="","",CONCATENATE(TEXT($O15,"0"),IF(Start.listina!$Y$5="","",TEXT(500+$P15,"0000")),IF(Start.listina!$Y$6="","",CHOOSE(Start.listina!$Y$7,TEXT($Q15,"00"),CONCATENATE(TEXT($Q15,"00"),TEXT($S15,"000")), TEXT($R15,"00"))),TEXT(500+$P15,"0000"),IF(Start.listina!$Y$8="","",TEXT($T15,"0")),TEXT(999999*RAND(),"000000")))</f>
        <v>2090280482308338</v>
      </c>
      <c r="X15" s="417">
        <f t="shared" si="12"/>
        <v>13</v>
      </c>
      <c r="Y15" s="415">
        <f t="shared" ca="1" si="2"/>
        <v>3</v>
      </c>
      <c r="Z15" s="333">
        <f t="shared" ca="1" si="13"/>
        <v>38</v>
      </c>
      <c r="AA15" s="333">
        <f t="shared" ca="1" si="14"/>
        <v>3</v>
      </c>
      <c r="AB15" s="333">
        <f t="shared" ca="1" si="15"/>
        <v>29</v>
      </c>
      <c r="AC15" s="333">
        <f t="shared" ca="1" si="16"/>
        <v>44</v>
      </c>
      <c r="AD15" s="333">
        <f t="shared" ca="1" si="17"/>
        <v>0</v>
      </c>
      <c r="AE15" s="333">
        <f t="shared" ca="1" si="18"/>
        <v>0</v>
      </c>
      <c r="AG15" s="333">
        <f ca="1">IF(TYPE(VLOOKUP($A15,'1.kolo'!$L$3:$L$66,1,0))&gt;3,VLOOKUP($A15,'1.kolo'!$K$3:$L$66,2,0),VLOOKUP($A15,'1.kolo'!$L$3:$O$66,4,0))</f>
        <v>38</v>
      </c>
      <c r="AH15" s="333">
        <f ca="1">IF(TYPE(VLOOKUP($A15,'1.kolo'!$L$3:$L$66,1,0))&gt;3,VLOOKUP($A15,'1.kolo'!$O$3:$Q$66,2,0),VLOOKUP($A15,'1.kolo'!$L$3:$N$66,2,0))</f>
        <v>1</v>
      </c>
      <c r="AI15" s="333">
        <f ca="1">IF(TYPE(VLOOKUP($A15,'1.kolo'!$L$3:$L$66,1,0))&gt;3,VLOOKUP($A15,'1.kolo'!$O$3:$Q$66,3,0),VLOOKUP($A15,'1.kolo'!$L$3:$N$66,3,0))</f>
        <v>4</v>
      </c>
      <c r="AJ15" s="333">
        <f t="shared" ca="1" si="19"/>
        <v>0</v>
      </c>
      <c r="AK15" s="333">
        <v>13</v>
      </c>
      <c r="AL15" s="442"/>
      <c r="AP15" s="333">
        <f ca="1">IF(TYPE(VLOOKUP($A15,'2.kolo'!$L$3:$L$66,1,0))&gt;3,IF(TYPE(VLOOKUP($A15,'2.kolo'!$K$3:$L$66,2,0))&gt;3,0,VLOOKUP($A15,'2.kolo'!$K$3:$L$66,2,0)),VLOOKUP($A15,'2.kolo'!$L$3:$O$66,4,0))</f>
        <v>3</v>
      </c>
      <c r="AQ15" s="333">
        <f ca="1">IF(TYPE(VLOOKUP($A15,'2.kolo'!$L$3:$L$66,1,0))&gt;3,IF(TYPE(VLOOKUP($A15,'2.kolo'!$O$3:$Q$66,2,0))&gt;3,0,VLOOKUP($A15,'2.kolo'!$O$3:$Q$66,2,0)),VLOOKUP($A15,'2.kolo'!$L$3:$N$66,2,0))</f>
        <v>0</v>
      </c>
      <c r="AR15" s="333">
        <f ca="1">IF(TYPE(VLOOKUP($A15,'2.kolo'!$L$3:$L$66,1,0))&gt;3,IF(TYPE(VLOOKUP($A15,'2.kolo'!$O$3:$Q$66,3,0))&gt;3,0,VLOOKUP($A15,'2.kolo'!$O$3:$Q$66,3,0)),VLOOKUP($A15,'2.kolo'!$L$3:$N$66,3,0))</f>
        <v>-11</v>
      </c>
      <c r="AS15" s="333">
        <f t="shared" ca="1" si="20"/>
        <v>0</v>
      </c>
      <c r="AT15" s="415">
        <v>45</v>
      </c>
      <c r="AU15" s="442" t="str">
        <f ca="1">IF(AT15="","",CONCATENATE(TEXT($O15,"0"),IF(Start.listina!$Y$5="","",TEXT(500+$P15,"000")),TEXT(999999*RAND(),"000000")))</f>
        <v>2155790</v>
      </c>
      <c r="AV15" s="333">
        <f t="shared" ca="1" si="3"/>
        <v>0</v>
      </c>
      <c r="AY15" s="333">
        <f ca="1">IF(TYPE(VLOOKUP($A15,'3.kolo'!$L$3:$L$66,1,0))&gt;3,IF(TYPE(VLOOKUP($A15,'3.kolo'!$K$3:$L$66,2,0))&gt;3,0,VLOOKUP($A15,'3.kolo'!$K$3:$L$66,2,0)),VLOOKUP($A15,'3.kolo'!$L$3:$O$66,4,0))</f>
        <v>29</v>
      </c>
      <c r="AZ15" s="333">
        <f ca="1">IF(TYPE(VLOOKUP($A15,'3.kolo'!$L$3:$L$66,1,0))&gt;3,IF(TYPE(VLOOKUP($A15,'3.kolo'!$O$3:$Q$66,2,0))&gt;3,0,VLOOKUP($A15,'3.kolo'!$O$3:$Q$66,2,0)),VLOOKUP($A15,'3.kolo'!$L$3:$N$66,2,0))</f>
        <v>1</v>
      </c>
      <c r="BA15" s="333">
        <f ca="1">IF(TYPE(VLOOKUP($A15,'3.kolo'!$L$3:$L$66,1,0))&gt;3,IF(TYPE(VLOOKUP($A15,'3.kolo'!$O$3:$Q$66,3,0))&gt;3,0,VLOOKUP($A15,'3.kolo'!$O$3:$Q$66,3,0)),VLOOKUP($A15,'3.kolo'!$L$3:$N$66,3,0))</f>
        <v>1</v>
      </c>
      <c r="BB15" s="333">
        <f t="shared" ca="1" si="21"/>
        <v>0</v>
      </c>
      <c r="BC15" s="415">
        <v>12</v>
      </c>
      <c r="BD15" s="442" t="str">
        <f ca="1">IF(BC15="","",CONCATENATE(TEXT($O15,"0"),IF(Start.listina!$Y$5="","",TEXT(500+$P15,"000")),TEXT(999999*RAND(),"000000")))</f>
        <v>2262271</v>
      </c>
      <c r="BE15" s="333">
        <f t="shared" ca="1" si="4"/>
        <v>0</v>
      </c>
      <c r="BH15" s="333">
        <f ca="1">IF(TYPE(VLOOKUP($A15,'4.kolo'!$L$3:$L$66,1,0))&gt;3,IF(TYPE(VLOOKUP($A15,'4.kolo'!$K$3:$L$66,2,0))&gt;3,0,VLOOKUP($A15,'4.kolo'!$K$3:$L$66,2,0)),VLOOKUP($A15,'4.kolo'!$L$3:$O$66,4,0))</f>
        <v>44</v>
      </c>
      <c r="BI15" s="333">
        <f ca="1">IF(TYPE(VLOOKUP($A15,'4.kolo'!$L$3:$L$66,1,0))&gt;3,IF(TYPE(VLOOKUP($A15,'4.kolo'!$O$3:$Q$66,2,0))&gt;3,0,VLOOKUP($A15,'4.kolo'!$O$3:$Q$66,2,0)),VLOOKUP($A15,'4.kolo'!$L$3:$N$66,2,0))</f>
        <v>0</v>
      </c>
      <c r="BJ15" s="333">
        <f ca="1">IF(TYPE(VLOOKUP($A15,'4.kolo'!$L$3:$L$66,1,0))&gt;3,IF(TYPE(VLOOKUP($A15,'4.kolo'!$O$3:$Q$66,3,0))&gt;3,0,VLOOKUP($A15,'4.kolo'!$O$3:$Q$66,3,0)),VLOOKUP($A15,'4.kolo'!$L$3:$N$66,3,0))</f>
        <v>-12</v>
      </c>
      <c r="BK15" s="333">
        <f t="shared" ca="1" si="22"/>
        <v>0</v>
      </c>
      <c r="BL15" s="415">
        <v>50</v>
      </c>
      <c r="BM15" s="442" t="str">
        <f ca="1">IF(BL15="","",CONCATENATE(TEXT($O15,"0"),IF(Start.listina!$Y$5="","",TEXT(500+$P15,"000")),TEXT(999999*RAND(),"000000")))</f>
        <v>2256265</v>
      </c>
      <c r="BN15" s="333">
        <f t="shared" ca="1" si="5"/>
        <v>0</v>
      </c>
      <c r="BQ15" s="333">
        <f ca="1">IF(TYPE(VLOOKUP($A15,'5.kolo'!$L$3:$L$66,1,0))&gt;3,IF(TYPE(VLOOKUP($A15,'5.kolo'!$K$3:$L$66,2,0))&gt;3,0,VLOOKUP($A15,'5.kolo'!$K$3:$L$66,2,0)),VLOOKUP($A15,'5.kolo'!$L$3:$O$66,4,0))</f>
        <v>0</v>
      </c>
      <c r="BR15" s="333">
        <f ca="1">IF(TYPE(VLOOKUP($A15,'5.kolo'!$L$3:$L$66,1,0))&gt;3,IF(TYPE(VLOOKUP($A15,'5.kolo'!$O$3:$Q$66,2,0))&gt;3,0,VLOOKUP($A15,'5.kolo'!$O$3:$Q$66,2,0)),VLOOKUP($A15,'5.kolo'!$L$3:$N$66,2,0))</f>
        <v>0</v>
      </c>
      <c r="BS15" s="333">
        <f ca="1">IF(TYPE(VLOOKUP($A15,'5.kolo'!$L$3:$L$66,1,0))&gt;3,IF(TYPE(VLOOKUP($A15,'5.kolo'!$O$3:$Q$66,3,0))&gt;3,0,VLOOKUP($A15,'5.kolo'!$O$3:$Q$66,3,0)),VLOOKUP($A15,'5.kolo'!$L$3:$N$66,3,0))</f>
        <v>0</v>
      </c>
      <c r="BT15" s="333">
        <f t="shared" ca="1" si="23"/>
        <v>0</v>
      </c>
      <c r="BU15" s="415"/>
      <c r="BV15" s="442" t="str">
        <f ca="1">IF(BU15="","",CONCATENATE(TEXT($O15,"0"),IF(Start.listina!$Y$5="","",TEXT(500+$P15,"000")),TEXT(999999*RAND(),"000000")))</f>
        <v/>
      </c>
      <c r="BW15" s="333">
        <f t="shared" ca="1" si="6"/>
        <v>0</v>
      </c>
      <c r="BZ15" s="333">
        <f ca="1">IF(TYPE(VLOOKUP($A15,'6.kolo'!$L$3:$L$66,1,0))&gt;3,IF(TYPE(VLOOKUP($A15,'6.kolo'!$K$3:$L$66,2,0))&gt;3,0,VLOOKUP($A15,'6.kolo'!$K$3:$L$66,2,0)),VLOOKUP($A15,'6.kolo'!$L$3:$O$66,4,0))</f>
        <v>0</v>
      </c>
      <c r="CA15" s="333">
        <f ca="1">IF(TYPE(VLOOKUP($A15,'6.kolo'!$L$3:$L$66,1,0))&gt;3,IF(TYPE(VLOOKUP($A15,'6.kolo'!$O$3:$Q$66,2,0))&gt;3,0,VLOOKUP($A15,'6.kolo'!$O$3:$Q$66,2,0)),VLOOKUP($A15,'6.kolo'!$L$3:$N$66,2,0))</f>
        <v>0</v>
      </c>
      <c r="CB15" s="333">
        <f ca="1">IF(TYPE(VLOOKUP($A15,'6.kolo'!$L$3:$L$66,1,0))&gt;3,IF(TYPE(VLOOKUP($A15,'6.kolo'!$O$3:$Q$66,3,0))&gt;3,0,VLOOKUP($A15,'6.kolo'!$O$3:$Q$66,3,0)),VLOOKUP($A15,'6.kolo'!$L$3:$N$66,3,0))</f>
        <v>0</v>
      </c>
      <c r="CC15" s="333">
        <f t="shared" ca="1" si="24"/>
        <v>0</v>
      </c>
      <c r="CD15" s="415"/>
      <c r="CE15" s="442" t="str">
        <f ca="1">IF(CD15="","",CONCATENATE(TEXT($O15,"0"),IF(Start.listina!$Y$5="","",TEXT(500+$P15,"000")),TEXT(999999*RAND(),"000000")))</f>
        <v/>
      </c>
      <c r="CF15" s="333">
        <f t="shared" ca="1" si="7"/>
        <v>0</v>
      </c>
    </row>
    <row r="16" spans="1:84" x14ac:dyDescent="0.25">
      <c r="A16" s="333">
        <f>IF(OR(Start.listina!H24&gt;Start.listina!$K$7,Start.listina!G24=TRUE),"",Start.listina!H24)</f>
        <v>14</v>
      </c>
      <c r="B16" s="333">
        <f>IF($A16&gt;Start.listina!$K$7,"",INT(($A16-1)/Start.listina!$O$7)+1)</f>
        <v>1</v>
      </c>
      <c r="C16" s="439" t="str">
        <f>IF(OR(Start.listina!H24&gt;Start.listina!$K$7,Start.listina!G24=TRUE)," - ",Start.listina!AL24)</f>
        <v>14 Sokol Kostomlaty - Vaníček Rudolf</v>
      </c>
      <c r="D16" s="333">
        <f>IF(OR(A16&gt;Start.listina!$K$7,TYPE(VLOOKUP(A16,$V$3:$X$130,3,0))&gt;3),"",VLOOKUP(A16,$V$3:$X$130,3,0))</f>
        <v>26</v>
      </c>
      <c r="E16" s="440">
        <f ca="1">IF(A16&gt;Start.listina!$K$7,"",IF(MIN(F16:K16)&gt;Start.listina!$Y$4,D16,MIN(F16:K16)))</f>
        <v>26</v>
      </c>
      <c r="F16" s="333">
        <f ca="1">IF(TYPE(VLOOKUP(C16,Konečné_pořadí_1_16!$B$2:$D$17,3,0))&lt;4,VLOOKUP(C16,Konečné_pořadí_1_16!$B$2:$D$17,3,0),999)</f>
        <v>999</v>
      </c>
      <c r="G16" s="333">
        <f ca="1">IF(TYPE(VLOOKUP(C16,'KO64'!$D$4:$D$129,1,0))&lt;4,64,999)</f>
        <v>999</v>
      </c>
      <c r="H16" s="333">
        <f ca="1">IF(TYPE(VLOOKUP(C16,'KO32'!$D$4:$D$65,1,0))&lt;4,32,999)</f>
        <v>999</v>
      </c>
      <c r="I16" s="333">
        <f ca="1">IF(TYPE(VLOOKUP(C16,'KO16'!$D$4:$D$33,1,0))&lt;4,16,999)</f>
        <v>999</v>
      </c>
      <c r="J16" s="333">
        <f ca="1">IF(TYPE(VLOOKUP(C16,'KO8'!$D$4:$D$17,1,0))&lt;4,8,999)</f>
        <v>999</v>
      </c>
      <c r="K16" s="333">
        <f ca="1">IF(TYPE(VLOOKUP(C16,'KO4'!$D$4:$D$9,1,0))&lt;4,4,999)</f>
        <v>999</v>
      </c>
      <c r="M16" s="334">
        <v>14</v>
      </c>
      <c r="O16" s="333">
        <f t="shared" ca="1" si="8"/>
        <v>2</v>
      </c>
      <c r="P16" s="333">
        <f t="shared" ca="1" si="9"/>
        <v>-5</v>
      </c>
      <c r="Q16" s="333">
        <f t="shared" ca="1" si="0"/>
        <v>8</v>
      </c>
      <c r="R16" s="333">
        <f t="shared" ca="1" si="1"/>
        <v>2</v>
      </c>
      <c r="S16" s="333">
        <f t="shared" ca="1" si="10"/>
        <v>32</v>
      </c>
      <c r="T16" s="333">
        <f t="shared" ca="1" si="11"/>
        <v>0</v>
      </c>
      <c r="U16" s="415">
        <f t="shared" si="25"/>
        <v>14</v>
      </c>
      <c r="V16" s="415">
        <v>10</v>
      </c>
      <c r="W16" s="441" t="str">
        <f ca="1">IF($V16="","",CONCATENATE(TEXT($O16,"0"),IF(Start.listina!$Y$5="","",TEXT(500+$P16,"0000")),IF(Start.listina!$Y$6="","",CHOOSE(Start.listina!$Y$7,TEXT($Q16,"00"),CONCATENATE(TEXT($Q16,"00"),TEXT($S16,"000")), TEXT($R16,"00"))),TEXT(500+$P16,"0000"),IF(Start.listina!$Y$8="","",TEXT($T16,"0")),TEXT(999999*RAND(),"000000")))</f>
        <v>2080320495230136</v>
      </c>
      <c r="X16" s="417">
        <f t="shared" si="12"/>
        <v>14</v>
      </c>
      <c r="Y16" s="415">
        <f t="shared" ca="1" si="2"/>
        <v>3</v>
      </c>
      <c r="Z16" s="333">
        <f t="shared" ca="1" si="13"/>
        <v>39</v>
      </c>
      <c r="AA16" s="333">
        <f t="shared" ca="1" si="14"/>
        <v>43</v>
      </c>
      <c r="AB16" s="333">
        <f t="shared" ca="1" si="15"/>
        <v>26</v>
      </c>
      <c r="AC16" s="333">
        <f t="shared" ca="1" si="16"/>
        <v>16</v>
      </c>
      <c r="AD16" s="333">
        <f t="shared" ca="1" si="17"/>
        <v>0</v>
      </c>
      <c r="AE16" s="333">
        <f t="shared" ca="1" si="18"/>
        <v>0</v>
      </c>
      <c r="AG16" s="333">
        <f ca="1">IF(TYPE(VLOOKUP($A16,'1.kolo'!$L$3:$L$66,1,0))&gt;3,VLOOKUP($A16,'1.kolo'!$K$3:$L$66,2,0),VLOOKUP($A16,'1.kolo'!$L$3:$O$66,4,0))</f>
        <v>39</v>
      </c>
      <c r="AH16" s="333">
        <f ca="1">IF(TYPE(VLOOKUP($A16,'1.kolo'!$L$3:$L$66,1,0))&gt;3,VLOOKUP($A16,'1.kolo'!$O$3:$Q$66,2,0),VLOOKUP($A16,'1.kolo'!$L$3:$N$66,2,0))</f>
        <v>1</v>
      </c>
      <c r="AI16" s="333">
        <f ca="1">IF(TYPE(VLOOKUP($A16,'1.kolo'!$L$3:$L$66,1,0))&gt;3,VLOOKUP($A16,'1.kolo'!$O$3:$Q$66,3,0),VLOOKUP($A16,'1.kolo'!$L$3:$N$66,3,0))</f>
        <v>6</v>
      </c>
      <c r="AJ16" s="333">
        <f t="shared" ca="1" si="19"/>
        <v>0</v>
      </c>
      <c r="AK16" s="333">
        <v>14</v>
      </c>
      <c r="AL16" s="442"/>
      <c r="AP16" s="333">
        <f ca="1">IF(TYPE(VLOOKUP($A16,'2.kolo'!$L$3:$L$66,1,0))&gt;3,IF(TYPE(VLOOKUP($A16,'2.kolo'!$K$3:$L$66,2,0))&gt;3,0,VLOOKUP($A16,'2.kolo'!$K$3:$L$66,2,0)),VLOOKUP($A16,'2.kolo'!$L$3:$O$66,4,0))</f>
        <v>43</v>
      </c>
      <c r="AQ16" s="333">
        <f ca="1">IF(TYPE(VLOOKUP($A16,'2.kolo'!$L$3:$L$66,1,0))&gt;3,IF(TYPE(VLOOKUP($A16,'2.kolo'!$O$3:$Q$66,2,0))&gt;3,0,VLOOKUP($A16,'2.kolo'!$O$3:$Q$66,2,0)),VLOOKUP($A16,'2.kolo'!$L$3:$N$66,2,0))</f>
        <v>0</v>
      </c>
      <c r="AR16" s="333">
        <f ca="1">IF(TYPE(VLOOKUP($A16,'2.kolo'!$L$3:$L$66,1,0))&gt;3,IF(TYPE(VLOOKUP($A16,'2.kolo'!$O$3:$Q$66,3,0))&gt;3,0,VLOOKUP($A16,'2.kolo'!$O$3:$Q$66,3,0)),VLOOKUP($A16,'2.kolo'!$L$3:$N$66,3,0))</f>
        <v>-7</v>
      </c>
      <c r="AS16" s="333">
        <f t="shared" ca="1" si="20"/>
        <v>0</v>
      </c>
      <c r="AT16" s="415">
        <v>8</v>
      </c>
      <c r="AU16" s="442" t="str">
        <f ca="1">IF(AT16="","",CONCATENATE(TEXT($O16,"0"),IF(Start.listina!$Y$5="","",TEXT(500+$P16,"000")),TEXT(999999*RAND(),"000000")))</f>
        <v>2900814</v>
      </c>
      <c r="AV16" s="333">
        <f t="shared" ca="1" si="3"/>
        <v>0</v>
      </c>
      <c r="AY16" s="333">
        <f ca="1">IF(TYPE(VLOOKUP($A16,'3.kolo'!$L$3:$L$66,1,0))&gt;3,IF(TYPE(VLOOKUP($A16,'3.kolo'!$K$3:$L$66,2,0))&gt;3,0,VLOOKUP($A16,'3.kolo'!$K$3:$L$66,2,0)),VLOOKUP($A16,'3.kolo'!$L$3:$O$66,4,0))</f>
        <v>26</v>
      </c>
      <c r="AZ16" s="333">
        <f ca="1">IF(TYPE(VLOOKUP($A16,'3.kolo'!$L$3:$L$66,1,0))&gt;3,IF(TYPE(VLOOKUP($A16,'3.kolo'!$O$3:$Q$66,2,0))&gt;3,0,VLOOKUP($A16,'3.kolo'!$O$3:$Q$66,2,0)),VLOOKUP($A16,'3.kolo'!$L$3:$N$66,2,0))</f>
        <v>1</v>
      </c>
      <c r="BA16" s="333">
        <f ca="1">IF(TYPE(VLOOKUP($A16,'3.kolo'!$L$3:$L$66,1,0))&gt;3,IF(TYPE(VLOOKUP($A16,'3.kolo'!$O$3:$Q$66,3,0))&gt;3,0,VLOOKUP($A16,'3.kolo'!$O$3:$Q$66,3,0)),VLOOKUP($A16,'3.kolo'!$L$3:$N$66,3,0))</f>
        <v>3</v>
      </c>
      <c r="BB16" s="333">
        <f t="shared" ca="1" si="21"/>
        <v>0</v>
      </c>
      <c r="BC16" s="415">
        <v>28</v>
      </c>
      <c r="BD16" s="442" t="str">
        <f ca="1">IF(BC16="","",CONCATENATE(TEXT($O16,"0"),IF(Start.listina!$Y$5="","",TEXT(500+$P16,"000")),TEXT(999999*RAND(),"000000")))</f>
        <v>2776937</v>
      </c>
      <c r="BE16" s="333">
        <f t="shared" ca="1" si="4"/>
        <v>0</v>
      </c>
      <c r="BH16" s="333">
        <f ca="1">IF(TYPE(VLOOKUP($A16,'4.kolo'!$L$3:$L$66,1,0))&gt;3,IF(TYPE(VLOOKUP($A16,'4.kolo'!$K$3:$L$66,2,0))&gt;3,0,VLOOKUP($A16,'4.kolo'!$K$3:$L$66,2,0)),VLOOKUP($A16,'4.kolo'!$L$3:$O$66,4,0))</f>
        <v>16</v>
      </c>
      <c r="BI16" s="333">
        <f ca="1">IF(TYPE(VLOOKUP($A16,'4.kolo'!$L$3:$L$66,1,0))&gt;3,IF(TYPE(VLOOKUP($A16,'4.kolo'!$O$3:$Q$66,2,0))&gt;3,0,VLOOKUP($A16,'4.kolo'!$O$3:$Q$66,2,0)),VLOOKUP($A16,'4.kolo'!$L$3:$N$66,2,0))</f>
        <v>0</v>
      </c>
      <c r="BJ16" s="333">
        <f ca="1">IF(TYPE(VLOOKUP($A16,'4.kolo'!$L$3:$L$66,1,0))&gt;3,IF(TYPE(VLOOKUP($A16,'4.kolo'!$O$3:$Q$66,3,0))&gt;3,0,VLOOKUP($A16,'4.kolo'!$O$3:$Q$66,3,0)),VLOOKUP($A16,'4.kolo'!$L$3:$N$66,3,0))</f>
        <v>-7</v>
      </c>
      <c r="BK16" s="333">
        <f t="shared" ca="1" si="22"/>
        <v>0</v>
      </c>
      <c r="BL16" s="415">
        <v>20</v>
      </c>
      <c r="BM16" s="442" t="str">
        <f ca="1">IF(BL16="","",CONCATENATE(TEXT($O16,"0"),IF(Start.listina!$Y$5="","",TEXT(500+$P16,"000")),TEXT(999999*RAND(),"000000")))</f>
        <v>2208056</v>
      </c>
      <c r="BN16" s="333">
        <f t="shared" ca="1" si="5"/>
        <v>0</v>
      </c>
      <c r="BQ16" s="333">
        <f ca="1">IF(TYPE(VLOOKUP($A16,'5.kolo'!$L$3:$L$66,1,0))&gt;3,IF(TYPE(VLOOKUP($A16,'5.kolo'!$K$3:$L$66,2,0))&gt;3,0,VLOOKUP($A16,'5.kolo'!$K$3:$L$66,2,0)),VLOOKUP($A16,'5.kolo'!$L$3:$O$66,4,0))</f>
        <v>0</v>
      </c>
      <c r="BR16" s="333">
        <f ca="1">IF(TYPE(VLOOKUP($A16,'5.kolo'!$L$3:$L$66,1,0))&gt;3,IF(TYPE(VLOOKUP($A16,'5.kolo'!$O$3:$Q$66,2,0))&gt;3,0,VLOOKUP($A16,'5.kolo'!$O$3:$Q$66,2,0)),VLOOKUP($A16,'5.kolo'!$L$3:$N$66,2,0))</f>
        <v>0</v>
      </c>
      <c r="BS16" s="333">
        <f ca="1">IF(TYPE(VLOOKUP($A16,'5.kolo'!$L$3:$L$66,1,0))&gt;3,IF(TYPE(VLOOKUP($A16,'5.kolo'!$O$3:$Q$66,3,0))&gt;3,0,VLOOKUP($A16,'5.kolo'!$O$3:$Q$66,3,0)),VLOOKUP($A16,'5.kolo'!$L$3:$N$66,3,0))</f>
        <v>0</v>
      </c>
      <c r="BT16" s="333">
        <f t="shared" ca="1" si="23"/>
        <v>0</v>
      </c>
      <c r="BU16" s="415"/>
      <c r="BV16" s="442" t="str">
        <f ca="1">IF(BU16="","",CONCATENATE(TEXT($O16,"0"),IF(Start.listina!$Y$5="","",TEXT(500+$P16,"000")),TEXT(999999*RAND(),"000000")))</f>
        <v/>
      </c>
      <c r="BW16" s="333">
        <f t="shared" ca="1" si="6"/>
        <v>0</v>
      </c>
      <c r="BZ16" s="333">
        <f ca="1">IF(TYPE(VLOOKUP($A16,'6.kolo'!$L$3:$L$66,1,0))&gt;3,IF(TYPE(VLOOKUP($A16,'6.kolo'!$K$3:$L$66,2,0))&gt;3,0,VLOOKUP($A16,'6.kolo'!$K$3:$L$66,2,0)),VLOOKUP($A16,'6.kolo'!$L$3:$O$66,4,0))</f>
        <v>0</v>
      </c>
      <c r="CA16" s="333">
        <f ca="1">IF(TYPE(VLOOKUP($A16,'6.kolo'!$L$3:$L$66,1,0))&gt;3,IF(TYPE(VLOOKUP($A16,'6.kolo'!$O$3:$Q$66,2,0))&gt;3,0,VLOOKUP($A16,'6.kolo'!$O$3:$Q$66,2,0)),VLOOKUP($A16,'6.kolo'!$L$3:$N$66,2,0))</f>
        <v>0</v>
      </c>
      <c r="CB16" s="333">
        <f ca="1">IF(TYPE(VLOOKUP($A16,'6.kolo'!$L$3:$L$66,1,0))&gt;3,IF(TYPE(VLOOKUP($A16,'6.kolo'!$O$3:$Q$66,3,0))&gt;3,0,VLOOKUP($A16,'6.kolo'!$O$3:$Q$66,3,0)),VLOOKUP($A16,'6.kolo'!$L$3:$N$66,3,0))</f>
        <v>0</v>
      </c>
      <c r="CC16" s="333">
        <f t="shared" ca="1" si="24"/>
        <v>0</v>
      </c>
      <c r="CD16" s="415"/>
      <c r="CE16" s="442" t="str">
        <f ca="1">IF(CD16="","",CONCATENATE(TEXT($O16,"0"),IF(Start.listina!$Y$5="","",TEXT(500+$P16,"000")),TEXT(999999*RAND(),"000000")))</f>
        <v/>
      </c>
      <c r="CF16" s="333">
        <f t="shared" ca="1" si="7"/>
        <v>0</v>
      </c>
    </row>
    <row r="17" spans="1:84" x14ac:dyDescent="0.25">
      <c r="A17" s="333">
        <f>IF(OR(Start.listina!H25&gt;Start.listina!$K$7,Start.listina!G25=TRUE),"",Start.listina!H25)</f>
        <v>15</v>
      </c>
      <c r="B17" s="333">
        <f>IF($A17&gt;Start.listina!$K$7,"",INT(($A17-1)/Start.listina!$O$7)+1)</f>
        <v>1</v>
      </c>
      <c r="C17" s="439" t="str">
        <f>IF(OR(Start.listina!H25&gt;Start.listina!$K$7,Start.listina!G25=TRUE)," - ",Start.listina!AL25)</f>
        <v>15 SKP Kulová osma - Zátka Miloslav</v>
      </c>
      <c r="D17" s="333">
        <f>IF(OR(A17&gt;Start.listina!$K$7,TYPE(VLOOKUP(A17,$V$3:$X$130,3,0))&gt;3),"",VLOOKUP(A17,$V$3:$X$130,3,0))</f>
        <v>36</v>
      </c>
      <c r="E17" s="440">
        <f ca="1">IF(A17&gt;Start.listina!$K$7,"",IF(MIN(F17:K17)&gt;Start.listina!$Y$4,D17,MIN(F17:K17)))</f>
        <v>36</v>
      </c>
      <c r="F17" s="333">
        <f ca="1">IF(TYPE(VLOOKUP(C17,Konečné_pořadí_1_16!$B$2:$D$17,3,0))&lt;4,VLOOKUP(C17,Konečné_pořadí_1_16!$B$2:$D$17,3,0),999)</f>
        <v>999</v>
      </c>
      <c r="G17" s="333">
        <f ca="1">IF(TYPE(VLOOKUP(C17,'KO64'!$D$4:$D$129,1,0))&lt;4,64,999)</f>
        <v>999</v>
      </c>
      <c r="H17" s="333">
        <f ca="1">IF(TYPE(VLOOKUP(C17,'KO32'!$D$4:$D$65,1,0))&lt;4,32,999)</f>
        <v>999</v>
      </c>
      <c r="I17" s="333">
        <f ca="1">IF(TYPE(VLOOKUP(C17,'KO16'!$D$4:$D$33,1,0))&lt;4,16,999)</f>
        <v>999</v>
      </c>
      <c r="J17" s="333">
        <f ca="1">IF(TYPE(VLOOKUP(C17,'KO8'!$D$4:$D$17,1,0))&lt;4,8,999)</f>
        <v>999</v>
      </c>
      <c r="K17" s="333">
        <f ca="1">IF(TYPE(VLOOKUP(C17,'KO4'!$D$4:$D$9,1,0))&lt;4,4,999)</f>
        <v>999</v>
      </c>
      <c r="M17" s="334">
        <v>15</v>
      </c>
      <c r="O17" s="333">
        <f t="shared" ca="1" si="8"/>
        <v>2</v>
      </c>
      <c r="P17" s="333">
        <f t="shared" ca="1" si="9"/>
        <v>3</v>
      </c>
      <c r="Q17" s="333">
        <f t="shared" ca="1" si="0"/>
        <v>5</v>
      </c>
      <c r="R17" s="333">
        <f t="shared" ca="1" si="1"/>
        <v>2</v>
      </c>
      <c r="S17" s="333">
        <f t="shared" ca="1" si="10"/>
        <v>34</v>
      </c>
      <c r="T17" s="333">
        <f t="shared" ca="1" si="11"/>
        <v>0</v>
      </c>
      <c r="U17" s="415">
        <f t="shared" si="25"/>
        <v>15</v>
      </c>
      <c r="V17" s="415">
        <v>12</v>
      </c>
      <c r="W17" s="441" t="str">
        <f ca="1">IF($V17="","",CONCATENATE(TEXT($O17,"0"),IF(Start.listina!$Y$5="","",TEXT(500+$P17,"0000")),IF(Start.listina!$Y$6="","",CHOOSE(Start.listina!$Y$7,TEXT($Q17,"00"),CONCATENATE(TEXT($Q17,"00"),TEXT($S17,"000")), TEXT($R17,"00"))),TEXT(500+$P17,"0000"),IF(Start.listina!$Y$8="","",TEXT($T17,"0")),TEXT(999999*RAND(),"000000")))</f>
        <v>2050340503777312</v>
      </c>
      <c r="X17" s="417">
        <f t="shared" si="12"/>
        <v>15</v>
      </c>
      <c r="Y17" s="415">
        <f t="shared" ca="1" si="2"/>
        <v>3</v>
      </c>
      <c r="Z17" s="333">
        <f t="shared" ca="1" si="13"/>
        <v>40</v>
      </c>
      <c r="AA17" s="333">
        <f t="shared" ca="1" si="14"/>
        <v>47</v>
      </c>
      <c r="AB17" s="333">
        <f t="shared" ca="1" si="15"/>
        <v>50</v>
      </c>
      <c r="AC17" s="333">
        <f t="shared" ca="1" si="16"/>
        <v>48</v>
      </c>
      <c r="AD17" s="333">
        <f t="shared" ca="1" si="17"/>
        <v>0</v>
      </c>
      <c r="AE17" s="333">
        <f t="shared" ca="1" si="18"/>
        <v>0</v>
      </c>
      <c r="AG17" s="333">
        <f ca="1">IF(TYPE(VLOOKUP($A17,'1.kolo'!$L$3:$L$66,1,0))&gt;3,VLOOKUP($A17,'1.kolo'!$K$3:$L$66,2,0),VLOOKUP($A17,'1.kolo'!$L$3:$O$66,4,0))</f>
        <v>40</v>
      </c>
      <c r="AH17" s="333">
        <f ca="1">IF(TYPE(VLOOKUP($A17,'1.kolo'!$L$3:$L$66,1,0))&gt;3,VLOOKUP($A17,'1.kolo'!$O$3:$Q$66,2,0),VLOOKUP($A17,'1.kolo'!$L$3:$N$66,2,0))</f>
        <v>0</v>
      </c>
      <c r="AI17" s="333">
        <f ca="1">IF(TYPE(VLOOKUP($A17,'1.kolo'!$L$3:$L$66,1,0))&gt;3,VLOOKUP($A17,'1.kolo'!$O$3:$Q$66,3,0),VLOOKUP($A17,'1.kolo'!$L$3:$N$66,3,0))</f>
        <v>-9</v>
      </c>
      <c r="AJ17" s="333">
        <f t="shared" ca="1" si="19"/>
        <v>0</v>
      </c>
      <c r="AK17" s="333">
        <v>15</v>
      </c>
      <c r="AL17" s="442"/>
      <c r="AP17" s="333">
        <f ca="1">IF(TYPE(VLOOKUP($A17,'2.kolo'!$L$3:$L$66,1,0))&gt;3,IF(TYPE(VLOOKUP($A17,'2.kolo'!$K$3:$L$66,2,0))&gt;3,0,VLOOKUP($A17,'2.kolo'!$K$3:$L$66,2,0)),VLOOKUP($A17,'2.kolo'!$L$3:$O$66,4,0))</f>
        <v>47</v>
      </c>
      <c r="AQ17" s="333">
        <f ca="1">IF(TYPE(VLOOKUP($A17,'2.kolo'!$L$3:$L$66,1,0))&gt;3,IF(TYPE(VLOOKUP($A17,'2.kolo'!$O$3:$Q$66,2,0))&gt;3,0,VLOOKUP($A17,'2.kolo'!$O$3:$Q$66,2,0)),VLOOKUP($A17,'2.kolo'!$L$3:$N$66,2,0))</f>
        <v>1</v>
      </c>
      <c r="AR17" s="333">
        <f ca="1">IF(TYPE(VLOOKUP($A17,'2.kolo'!$L$3:$L$66,1,0))&gt;3,IF(TYPE(VLOOKUP($A17,'2.kolo'!$O$3:$Q$66,3,0))&gt;3,0,VLOOKUP($A17,'2.kolo'!$O$3:$Q$66,3,0)),VLOOKUP($A17,'2.kolo'!$L$3:$N$66,3,0))</f>
        <v>12</v>
      </c>
      <c r="AS17" s="333">
        <f t="shared" ca="1" si="20"/>
        <v>0</v>
      </c>
      <c r="AT17" s="415">
        <v>9</v>
      </c>
      <c r="AU17" s="442" t="str">
        <f ca="1">IF(AT17="","",CONCATENATE(TEXT($O17,"0"),IF(Start.listina!$Y$5="","",TEXT(500+$P17,"000")),TEXT(999999*RAND(),"000000")))</f>
        <v>2484484</v>
      </c>
      <c r="AV17" s="333">
        <f t="shared" ca="1" si="3"/>
        <v>0</v>
      </c>
      <c r="AY17" s="333">
        <f ca="1">IF(TYPE(VLOOKUP($A17,'3.kolo'!$L$3:$L$66,1,0))&gt;3,IF(TYPE(VLOOKUP($A17,'3.kolo'!$K$3:$L$66,2,0))&gt;3,0,VLOOKUP($A17,'3.kolo'!$K$3:$L$66,2,0)),VLOOKUP($A17,'3.kolo'!$L$3:$O$66,4,0))</f>
        <v>50</v>
      </c>
      <c r="AZ17" s="333">
        <f ca="1">IF(TYPE(VLOOKUP($A17,'3.kolo'!$L$3:$L$66,1,0))&gt;3,IF(TYPE(VLOOKUP($A17,'3.kolo'!$O$3:$Q$66,2,0))&gt;3,0,VLOOKUP($A17,'3.kolo'!$O$3:$Q$66,2,0)),VLOOKUP($A17,'3.kolo'!$L$3:$N$66,2,0))</f>
        <v>0</v>
      </c>
      <c r="BA17" s="333">
        <f ca="1">IF(TYPE(VLOOKUP($A17,'3.kolo'!$L$3:$L$66,1,0))&gt;3,IF(TYPE(VLOOKUP($A17,'3.kolo'!$O$3:$Q$66,3,0))&gt;3,0,VLOOKUP($A17,'3.kolo'!$O$3:$Q$66,3,0)),VLOOKUP($A17,'3.kolo'!$L$3:$N$66,3,0))</f>
        <v>-1</v>
      </c>
      <c r="BB17" s="333">
        <f t="shared" ca="1" si="21"/>
        <v>0</v>
      </c>
      <c r="BC17" s="415">
        <v>13</v>
      </c>
      <c r="BD17" s="442" t="str">
        <f ca="1">IF(BC17="","",CONCATENATE(TEXT($O17,"0"),IF(Start.listina!$Y$5="","",TEXT(500+$P17,"000")),TEXT(999999*RAND(),"000000")))</f>
        <v>2339399</v>
      </c>
      <c r="BE17" s="333">
        <f t="shared" ca="1" si="4"/>
        <v>0</v>
      </c>
      <c r="BH17" s="333">
        <f ca="1">IF(TYPE(VLOOKUP($A17,'4.kolo'!$L$3:$L$66,1,0))&gt;3,IF(TYPE(VLOOKUP($A17,'4.kolo'!$K$3:$L$66,2,0))&gt;3,0,VLOOKUP($A17,'4.kolo'!$K$3:$L$66,2,0)),VLOOKUP($A17,'4.kolo'!$L$3:$O$66,4,0))</f>
        <v>48</v>
      </c>
      <c r="BI17" s="333">
        <f ca="1">IF(TYPE(VLOOKUP($A17,'4.kolo'!$L$3:$L$66,1,0))&gt;3,IF(TYPE(VLOOKUP($A17,'4.kolo'!$O$3:$Q$66,2,0))&gt;3,0,VLOOKUP($A17,'4.kolo'!$O$3:$Q$66,2,0)),VLOOKUP($A17,'4.kolo'!$L$3:$N$66,2,0))</f>
        <v>1</v>
      </c>
      <c r="BJ17" s="333">
        <f ca="1">IF(TYPE(VLOOKUP($A17,'4.kolo'!$L$3:$L$66,1,0))&gt;3,IF(TYPE(VLOOKUP($A17,'4.kolo'!$O$3:$Q$66,3,0))&gt;3,0,VLOOKUP($A17,'4.kolo'!$O$3:$Q$66,3,0)),VLOOKUP($A17,'4.kolo'!$L$3:$N$66,3,0))</f>
        <v>1</v>
      </c>
      <c r="BK17" s="333">
        <f t="shared" ca="1" si="22"/>
        <v>0</v>
      </c>
      <c r="BL17" s="415">
        <v>14</v>
      </c>
      <c r="BM17" s="442" t="str">
        <f ca="1">IF(BL17="","",CONCATENATE(TEXT($O17,"0"),IF(Start.listina!$Y$5="","",TEXT(500+$P17,"000")),TEXT(999999*RAND(),"000000")))</f>
        <v>2360443</v>
      </c>
      <c r="BN17" s="333">
        <f t="shared" ca="1" si="5"/>
        <v>0</v>
      </c>
      <c r="BQ17" s="333">
        <f ca="1">IF(TYPE(VLOOKUP($A17,'5.kolo'!$L$3:$L$66,1,0))&gt;3,IF(TYPE(VLOOKUP($A17,'5.kolo'!$K$3:$L$66,2,0))&gt;3,0,VLOOKUP($A17,'5.kolo'!$K$3:$L$66,2,0)),VLOOKUP($A17,'5.kolo'!$L$3:$O$66,4,0))</f>
        <v>0</v>
      </c>
      <c r="BR17" s="333">
        <f ca="1">IF(TYPE(VLOOKUP($A17,'5.kolo'!$L$3:$L$66,1,0))&gt;3,IF(TYPE(VLOOKUP($A17,'5.kolo'!$O$3:$Q$66,2,0))&gt;3,0,VLOOKUP($A17,'5.kolo'!$O$3:$Q$66,2,0)),VLOOKUP($A17,'5.kolo'!$L$3:$N$66,2,0))</f>
        <v>0</v>
      </c>
      <c r="BS17" s="333">
        <f ca="1">IF(TYPE(VLOOKUP($A17,'5.kolo'!$L$3:$L$66,1,0))&gt;3,IF(TYPE(VLOOKUP($A17,'5.kolo'!$O$3:$Q$66,3,0))&gt;3,0,VLOOKUP($A17,'5.kolo'!$O$3:$Q$66,3,0)),VLOOKUP($A17,'5.kolo'!$L$3:$N$66,3,0))</f>
        <v>0</v>
      </c>
      <c r="BT17" s="333">
        <f t="shared" ca="1" si="23"/>
        <v>0</v>
      </c>
      <c r="BU17" s="415"/>
      <c r="BV17" s="442" t="str">
        <f ca="1">IF(BU17="","",CONCATENATE(TEXT($O17,"0"),IF(Start.listina!$Y$5="","",TEXT(500+$P17,"000")),TEXT(999999*RAND(),"000000")))</f>
        <v/>
      </c>
      <c r="BW17" s="333">
        <f t="shared" ca="1" si="6"/>
        <v>0</v>
      </c>
      <c r="BZ17" s="333">
        <f ca="1">IF(TYPE(VLOOKUP($A17,'6.kolo'!$L$3:$L$66,1,0))&gt;3,IF(TYPE(VLOOKUP($A17,'6.kolo'!$K$3:$L$66,2,0))&gt;3,0,VLOOKUP($A17,'6.kolo'!$K$3:$L$66,2,0)),VLOOKUP($A17,'6.kolo'!$L$3:$O$66,4,0))</f>
        <v>0</v>
      </c>
      <c r="CA17" s="333">
        <f ca="1">IF(TYPE(VLOOKUP($A17,'6.kolo'!$L$3:$L$66,1,0))&gt;3,IF(TYPE(VLOOKUP($A17,'6.kolo'!$O$3:$Q$66,2,0))&gt;3,0,VLOOKUP($A17,'6.kolo'!$O$3:$Q$66,2,0)),VLOOKUP($A17,'6.kolo'!$L$3:$N$66,2,0))</f>
        <v>0</v>
      </c>
      <c r="CB17" s="333">
        <f ca="1">IF(TYPE(VLOOKUP($A17,'6.kolo'!$L$3:$L$66,1,0))&gt;3,IF(TYPE(VLOOKUP($A17,'6.kolo'!$O$3:$Q$66,3,0))&gt;3,0,VLOOKUP($A17,'6.kolo'!$O$3:$Q$66,3,0)),VLOOKUP($A17,'6.kolo'!$L$3:$N$66,3,0))</f>
        <v>0</v>
      </c>
      <c r="CC17" s="333">
        <f t="shared" ca="1" si="24"/>
        <v>0</v>
      </c>
      <c r="CD17" s="415"/>
      <c r="CE17" s="442" t="str">
        <f ca="1">IF(CD17="","",CONCATENATE(TEXT($O17,"0"),IF(Start.listina!$Y$5="","",TEXT(500+$P17,"000")),TEXT(999999*RAND(),"000000")))</f>
        <v/>
      </c>
      <c r="CF17" s="333">
        <f t="shared" ca="1" si="7"/>
        <v>0</v>
      </c>
    </row>
    <row r="18" spans="1:84" x14ac:dyDescent="0.25">
      <c r="A18" s="333">
        <f>IF(OR(Start.listina!H26&gt;Start.listina!$K$7,Start.listina!G26=TRUE),"",Start.listina!H26)</f>
        <v>16</v>
      </c>
      <c r="B18" s="333">
        <f>IF($A18&gt;Start.listina!$K$7,"",INT(($A18-1)/Start.listina!$O$7)+1)</f>
        <v>1</v>
      </c>
      <c r="C18" s="439" t="str">
        <f>IF(OR(Start.listina!H26&gt;Start.listina!$K$7,Start.listina!G26=TRUE)," - ",Start.listina!AL26)</f>
        <v>16 FRAPECO - Felčárek Jaroslav</v>
      </c>
      <c r="D18" s="333">
        <f>IF(OR(A18&gt;Start.listina!$K$7,TYPE(VLOOKUP(A18,$V$3:$X$130,3,0))&gt;3),"",VLOOKUP(A18,$V$3:$X$130,3,0))</f>
        <v>13</v>
      </c>
      <c r="E18" s="440">
        <f ca="1">IF(A18&gt;Start.listina!$K$7,"",IF(MIN(F18:K18)&gt;Start.listina!$Y$4,D18,MIN(F18:K18)))</f>
        <v>8</v>
      </c>
      <c r="F18" s="333">
        <f ca="1">IF(TYPE(VLOOKUP(C18,Konečné_pořadí_1_16!$B$2:$D$17,3,0))&lt;4,VLOOKUP(C18,Konečné_pořadí_1_16!$B$2:$D$17,3,0),999)</f>
        <v>8</v>
      </c>
      <c r="G18" s="333">
        <f ca="1">IF(TYPE(VLOOKUP(C18,'KO64'!$D$4:$D$129,1,0))&lt;4,64,999)</f>
        <v>64</v>
      </c>
      <c r="H18" s="333">
        <f ca="1">IF(TYPE(VLOOKUP(C18,'KO32'!$D$4:$D$65,1,0))&lt;4,32,999)</f>
        <v>32</v>
      </c>
      <c r="I18" s="333">
        <f ca="1">IF(TYPE(VLOOKUP(C18,'KO16'!$D$4:$D$33,1,0))&lt;4,16,999)</f>
        <v>16</v>
      </c>
      <c r="J18" s="333">
        <f ca="1">IF(TYPE(VLOOKUP(C18,'KO8'!$D$4:$D$17,1,0))&lt;4,8,999)</f>
        <v>8</v>
      </c>
      <c r="K18" s="333">
        <f ca="1">IF(TYPE(VLOOKUP(C18,'KO4'!$D$4:$D$9,1,0))&lt;4,4,999)</f>
        <v>999</v>
      </c>
      <c r="M18" s="334">
        <v>16</v>
      </c>
      <c r="O18" s="333">
        <f t="shared" ca="1" si="8"/>
        <v>3</v>
      </c>
      <c r="P18" s="333">
        <f t="shared" ca="1" si="9"/>
        <v>19</v>
      </c>
      <c r="Q18" s="333">
        <f t="shared" ca="1" si="0"/>
        <v>8</v>
      </c>
      <c r="R18" s="333">
        <f t="shared" ca="1" si="1"/>
        <v>5</v>
      </c>
      <c r="S18" s="333">
        <f t="shared" ca="1" si="10"/>
        <v>36</v>
      </c>
      <c r="T18" s="333">
        <f t="shared" ca="1" si="11"/>
        <v>0</v>
      </c>
      <c r="U18" s="415">
        <f t="shared" si="25"/>
        <v>16</v>
      </c>
      <c r="V18" s="415">
        <v>35</v>
      </c>
      <c r="W18" s="441" t="str">
        <f ca="1">IF($V18="","",CONCATENATE(TEXT($O18,"0"),IF(Start.listina!$Y$5="","",TEXT(500+$P18,"0000")),IF(Start.listina!$Y$6="","",CHOOSE(Start.listina!$Y$7,TEXT($Q18,"00"),CONCATENATE(TEXT($Q18,"00"),TEXT($S18,"000")), TEXT($R18,"00"))),TEXT(500+$P18,"0000"),IF(Start.listina!$Y$8="","",TEXT($T18,"0")),TEXT(999999*RAND(),"000000")))</f>
        <v>3080360519662493</v>
      </c>
      <c r="X18" s="417">
        <f t="shared" si="12"/>
        <v>16</v>
      </c>
      <c r="Y18" s="415">
        <f t="shared" ca="1" si="2"/>
        <v>3</v>
      </c>
      <c r="Z18" s="333">
        <f t="shared" ca="1" si="13"/>
        <v>41</v>
      </c>
      <c r="AA18" s="333">
        <f t="shared" ca="1" si="14"/>
        <v>40</v>
      </c>
      <c r="AB18" s="333">
        <f t="shared" ca="1" si="15"/>
        <v>19</v>
      </c>
      <c r="AC18" s="333">
        <f t="shared" ca="1" si="16"/>
        <v>14</v>
      </c>
      <c r="AD18" s="333">
        <f t="shared" ca="1" si="17"/>
        <v>0</v>
      </c>
      <c r="AE18" s="333">
        <f t="shared" ca="1" si="18"/>
        <v>0</v>
      </c>
      <c r="AG18" s="333">
        <f ca="1">IF(TYPE(VLOOKUP($A18,'1.kolo'!$L$3:$L$66,1,0))&gt;3,VLOOKUP($A18,'1.kolo'!$K$3:$L$66,2,0),VLOOKUP($A18,'1.kolo'!$L$3:$O$66,4,0))</f>
        <v>41</v>
      </c>
      <c r="AH18" s="333">
        <f ca="1">IF(TYPE(VLOOKUP($A18,'1.kolo'!$L$3:$L$66,1,0))&gt;3,VLOOKUP($A18,'1.kolo'!$O$3:$Q$66,2,0),VLOOKUP($A18,'1.kolo'!$L$3:$N$66,2,0))</f>
        <v>1</v>
      </c>
      <c r="AI18" s="333">
        <f ca="1">IF(TYPE(VLOOKUP($A18,'1.kolo'!$L$3:$L$66,1,0))&gt;3,VLOOKUP($A18,'1.kolo'!$O$3:$Q$66,3,0),VLOOKUP($A18,'1.kolo'!$L$3:$N$66,3,0))</f>
        <v>11</v>
      </c>
      <c r="AJ18" s="333">
        <f t="shared" ca="1" si="19"/>
        <v>0</v>
      </c>
      <c r="AK18" s="333">
        <v>16</v>
      </c>
      <c r="AL18" s="442"/>
      <c r="AP18" s="333">
        <f ca="1">IF(TYPE(VLOOKUP($A18,'2.kolo'!$L$3:$L$66,1,0))&gt;3,IF(TYPE(VLOOKUP($A18,'2.kolo'!$K$3:$L$66,2,0))&gt;3,0,VLOOKUP($A18,'2.kolo'!$K$3:$L$66,2,0)),VLOOKUP($A18,'2.kolo'!$L$3:$O$66,4,0))</f>
        <v>40</v>
      </c>
      <c r="AQ18" s="333">
        <f ca="1">IF(TYPE(VLOOKUP($A18,'2.kolo'!$L$3:$L$66,1,0))&gt;3,IF(TYPE(VLOOKUP($A18,'2.kolo'!$O$3:$Q$66,2,0))&gt;3,0,VLOOKUP($A18,'2.kolo'!$O$3:$Q$66,2,0)),VLOOKUP($A18,'2.kolo'!$L$3:$N$66,2,0))</f>
        <v>1</v>
      </c>
      <c r="AR18" s="333">
        <f ca="1">IF(TYPE(VLOOKUP($A18,'2.kolo'!$L$3:$L$66,1,0))&gt;3,IF(TYPE(VLOOKUP($A18,'2.kolo'!$O$3:$Q$66,3,0))&gt;3,0,VLOOKUP($A18,'2.kolo'!$O$3:$Q$66,3,0)),VLOOKUP($A18,'2.kolo'!$L$3:$N$66,3,0))</f>
        <v>5</v>
      </c>
      <c r="AS18" s="333">
        <f t="shared" ca="1" si="20"/>
        <v>0</v>
      </c>
      <c r="AT18" s="415">
        <v>17</v>
      </c>
      <c r="AU18" s="442" t="str">
        <f ca="1">IF(AT18="","",CONCATENATE(TEXT($O18,"0"),IF(Start.listina!$Y$5="","",TEXT(500+$P18,"000")),TEXT(999999*RAND(),"000000")))</f>
        <v>3646128</v>
      </c>
      <c r="AV18" s="333">
        <f t="shared" ca="1" si="3"/>
        <v>0</v>
      </c>
      <c r="AY18" s="333">
        <f ca="1">IF(TYPE(VLOOKUP($A18,'3.kolo'!$L$3:$L$66,1,0))&gt;3,IF(TYPE(VLOOKUP($A18,'3.kolo'!$K$3:$L$66,2,0))&gt;3,0,VLOOKUP($A18,'3.kolo'!$K$3:$L$66,2,0)),VLOOKUP($A18,'3.kolo'!$L$3:$O$66,4,0))</f>
        <v>19</v>
      </c>
      <c r="AZ18" s="333">
        <f ca="1">IF(TYPE(VLOOKUP($A18,'3.kolo'!$L$3:$L$66,1,0))&gt;3,IF(TYPE(VLOOKUP($A18,'3.kolo'!$O$3:$Q$66,2,0))&gt;3,0,VLOOKUP($A18,'3.kolo'!$O$3:$Q$66,2,0)),VLOOKUP($A18,'3.kolo'!$L$3:$N$66,2,0))</f>
        <v>0</v>
      </c>
      <c r="BA18" s="333">
        <f ca="1">IF(TYPE(VLOOKUP($A18,'3.kolo'!$L$3:$L$66,1,0))&gt;3,IF(TYPE(VLOOKUP($A18,'3.kolo'!$O$3:$Q$66,3,0))&gt;3,0,VLOOKUP($A18,'3.kolo'!$O$3:$Q$66,3,0)),VLOOKUP($A18,'3.kolo'!$L$3:$N$66,3,0))</f>
        <v>-4</v>
      </c>
      <c r="BB18" s="333">
        <f t="shared" ca="1" si="21"/>
        <v>0</v>
      </c>
      <c r="BC18" s="415">
        <v>29</v>
      </c>
      <c r="BD18" s="442" t="str">
        <f ca="1">IF(BC18="","",CONCATENATE(TEXT($O18,"0"),IF(Start.listina!$Y$5="","",TEXT(500+$P18,"000")),TEXT(999999*RAND(),"000000")))</f>
        <v>3954890</v>
      </c>
      <c r="BE18" s="333">
        <f t="shared" ca="1" si="4"/>
        <v>0</v>
      </c>
      <c r="BH18" s="333">
        <f ca="1">IF(TYPE(VLOOKUP($A18,'4.kolo'!$L$3:$L$66,1,0))&gt;3,IF(TYPE(VLOOKUP($A18,'4.kolo'!$K$3:$L$66,2,0))&gt;3,0,VLOOKUP($A18,'4.kolo'!$K$3:$L$66,2,0)),VLOOKUP($A18,'4.kolo'!$L$3:$O$66,4,0))</f>
        <v>14</v>
      </c>
      <c r="BI18" s="333">
        <f ca="1">IF(TYPE(VLOOKUP($A18,'4.kolo'!$L$3:$L$66,1,0))&gt;3,IF(TYPE(VLOOKUP($A18,'4.kolo'!$O$3:$Q$66,2,0))&gt;3,0,VLOOKUP($A18,'4.kolo'!$O$3:$Q$66,2,0)),VLOOKUP($A18,'4.kolo'!$L$3:$N$66,2,0))</f>
        <v>1</v>
      </c>
      <c r="BJ18" s="333">
        <f ca="1">IF(TYPE(VLOOKUP($A18,'4.kolo'!$L$3:$L$66,1,0))&gt;3,IF(TYPE(VLOOKUP($A18,'4.kolo'!$O$3:$Q$66,3,0))&gt;3,0,VLOOKUP($A18,'4.kolo'!$O$3:$Q$66,3,0)),VLOOKUP($A18,'4.kolo'!$L$3:$N$66,3,0))</f>
        <v>7</v>
      </c>
      <c r="BK18" s="333">
        <f t="shared" ca="1" si="22"/>
        <v>0</v>
      </c>
      <c r="BL18" s="415">
        <v>16</v>
      </c>
      <c r="BM18" s="442" t="str">
        <f ca="1">IF(BL18="","",CONCATENATE(TEXT($O18,"0"),IF(Start.listina!$Y$5="","",TEXT(500+$P18,"000")),TEXT(999999*RAND(),"000000")))</f>
        <v>3234498</v>
      </c>
      <c r="BN18" s="333">
        <f t="shared" ca="1" si="5"/>
        <v>0</v>
      </c>
      <c r="BQ18" s="333">
        <f ca="1">IF(TYPE(VLOOKUP($A18,'5.kolo'!$L$3:$L$66,1,0))&gt;3,IF(TYPE(VLOOKUP($A18,'5.kolo'!$K$3:$L$66,2,0))&gt;3,0,VLOOKUP($A18,'5.kolo'!$K$3:$L$66,2,0)),VLOOKUP($A18,'5.kolo'!$L$3:$O$66,4,0))</f>
        <v>0</v>
      </c>
      <c r="BR18" s="333">
        <f ca="1">IF(TYPE(VLOOKUP($A18,'5.kolo'!$L$3:$L$66,1,0))&gt;3,IF(TYPE(VLOOKUP($A18,'5.kolo'!$O$3:$Q$66,2,0))&gt;3,0,VLOOKUP($A18,'5.kolo'!$O$3:$Q$66,2,0)),VLOOKUP($A18,'5.kolo'!$L$3:$N$66,2,0))</f>
        <v>0</v>
      </c>
      <c r="BS18" s="333">
        <f ca="1">IF(TYPE(VLOOKUP($A18,'5.kolo'!$L$3:$L$66,1,0))&gt;3,IF(TYPE(VLOOKUP($A18,'5.kolo'!$O$3:$Q$66,3,0))&gt;3,0,VLOOKUP($A18,'5.kolo'!$O$3:$Q$66,3,0)),VLOOKUP($A18,'5.kolo'!$L$3:$N$66,3,0))</f>
        <v>0</v>
      </c>
      <c r="BT18" s="333">
        <f t="shared" ca="1" si="23"/>
        <v>0</v>
      </c>
      <c r="BU18" s="415"/>
      <c r="BV18" s="442" t="str">
        <f ca="1">IF(BU18="","",CONCATENATE(TEXT($O18,"0"),IF(Start.listina!$Y$5="","",TEXT(500+$P18,"000")),TEXT(999999*RAND(),"000000")))</f>
        <v/>
      </c>
      <c r="BW18" s="333">
        <f t="shared" ca="1" si="6"/>
        <v>0</v>
      </c>
      <c r="BZ18" s="333">
        <f ca="1">IF(TYPE(VLOOKUP($A18,'6.kolo'!$L$3:$L$66,1,0))&gt;3,IF(TYPE(VLOOKUP($A18,'6.kolo'!$K$3:$L$66,2,0))&gt;3,0,VLOOKUP($A18,'6.kolo'!$K$3:$L$66,2,0)),VLOOKUP($A18,'6.kolo'!$L$3:$O$66,4,0))</f>
        <v>0</v>
      </c>
      <c r="CA18" s="333">
        <f ca="1">IF(TYPE(VLOOKUP($A18,'6.kolo'!$L$3:$L$66,1,0))&gt;3,IF(TYPE(VLOOKUP($A18,'6.kolo'!$O$3:$Q$66,2,0))&gt;3,0,VLOOKUP($A18,'6.kolo'!$O$3:$Q$66,2,0)),VLOOKUP($A18,'6.kolo'!$L$3:$N$66,2,0))</f>
        <v>0</v>
      </c>
      <c r="CB18" s="333">
        <f ca="1">IF(TYPE(VLOOKUP($A18,'6.kolo'!$L$3:$L$66,1,0))&gt;3,IF(TYPE(VLOOKUP($A18,'6.kolo'!$O$3:$Q$66,3,0))&gt;3,0,VLOOKUP($A18,'6.kolo'!$O$3:$Q$66,3,0)),VLOOKUP($A18,'6.kolo'!$L$3:$N$66,3,0))</f>
        <v>0</v>
      </c>
      <c r="CC18" s="333">
        <f t="shared" ca="1" si="24"/>
        <v>0</v>
      </c>
      <c r="CD18" s="415"/>
      <c r="CE18" s="442" t="str">
        <f ca="1">IF(CD18="","",CONCATENATE(TEXT($O18,"0"),IF(Start.listina!$Y$5="","",TEXT(500+$P18,"000")),TEXT(999999*RAND(),"000000")))</f>
        <v/>
      </c>
      <c r="CF18" s="333">
        <f t="shared" ca="1" si="7"/>
        <v>0</v>
      </c>
    </row>
    <row r="19" spans="1:84" x14ac:dyDescent="0.25">
      <c r="A19" s="333">
        <f>IF(OR(Start.listina!H27&gt;Start.listina!$K$7,Start.listina!G27=TRUE),"",Start.listina!H27)</f>
        <v>17</v>
      </c>
      <c r="B19" s="333">
        <f>IF($A19&gt;Start.listina!$K$7,"",INT(($A19-1)/Start.listina!$O$7)+1)</f>
        <v>1</v>
      </c>
      <c r="C19" s="439" t="str">
        <f>IF(OR(Start.listina!H27&gt;Start.listina!$K$7,Start.listina!G27=TRUE)," - ",Start.listina!AL27)</f>
        <v>17 Sokol Kostomlaty - Vyoral Hynek</v>
      </c>
      <c r="D19" s="333">
        <f>IF(OR(A19&gt;Start.listina!$K$7,TYPE(VLOOKUP(A19,$V$3:$X$130,3,0))&gt;3),"",VLOOKUP(A19,$V$3:$X$130,3,0))</f>
        <v>33</v>
      </c>
      <c r="E19" s="440">
        <f ca="1">IF(A19&gt;Start.listina!$K$7,"",IF(MIN(F19:K19)&gt;Start.listina!$Y$4,D19,MIN(F19:K19)))</f>
        <v>33</v>
      </c>
      <c r="F19" s="333">
        <f ca="1">IF(TYPE(VLOOKUP(C19,Konečné_pořadí_1_16!$B$2:$D$17,3,0))&lt;4,VLOOKUP(C19,Konečné_pořadí_1_16!$B$2:$D$17,3,0),999)</f>
        <v>999</v>
      </c>
      <c r="G19" s="333">
        <f ca="1">IF(TYPE(VLOOKUP(C19,'KO64'!$D$4:$D$129,1,0))&lt;4,64,999)</f>
        <v>999</v>
      </c>
      <c r="H19" s="333">
        <f ca="1">IF(TYPE(VLOOKUP(C19,'KO32'!$D$4:$D$65,1,0))&lt;4,32,999)</f>
        <v>999</v>
      </c>
      <c r="I19" s="333">
        <f ca="1">IF(TYPE(VLOOKUP(C19,'KO16'!$D$4:$D$33,1,0))&lt;4,16,999)</f>
        <v>999</v>
      </c>
      <c r="J19" s="333">
        <f ca="1">IF(TYPE(VLOOKUP(C19,'KO8'!$D$4:$D$17,1,0))&lt;4,8,999)</f>
        <v>999</v>
      </c>
      <c r="K19" s="333">
        <f ca="1">IF(TYPE(VLOOKUP(C19,'KO4'!$D$4:$D$9,1,0))&lt;4,4,999)</f>
        <v>999</v>
      </c>
      <c r="M19" s="334">
        <v>17</v>
      </c>
      <c r="O19" s="333">
        <f t="shared" ca="1" si="8"/>
        <v>2</v>
      </c>
      <c r="P19" s="333">
        <f t="shared" ca="1" si="9"/>
        <v>15</v>
      </c>
      <c r="Q19" s="333">
        <f t="shared" ca="1" si="0"/>
        <v>6</v>
      </c>
      <c r="R19" s="333">
        <f t="shared" ca="1" si="1"/>
        <v>1</v>
      </c>
      <c r="S19" s="333">
        <f t="shared" ca="1" si="10"/>
        <v>31</v>
      </c>
      <c r="T19" s="333">
        <f t="shared" ca="1" si="11"/>
        <v>0</v>
      </c>
      <c r="U19" s="415">
        <f t="shared" si="25"/>
        <v>17</v>
      </c>
      <c r="V19" s="415">
        <v>44</v>
      </c>
      <c r="W19" s="441" t="str">
        <f ca="1">IF($V19="","",CONCATENATE(TEXT($O19,"0"),IF(Start.listina!$Y$5="","",TEXT(500+$P19,"0000")),IF(Start.listina!$Y$6="","",CHOOSE(Start.listina!$Y$7,TEXT($Q19,"00"),CONCATENATE(TEXT($Q19,"00"),TEXT($S19,"000")), TEXT($R19,"00"))),TEXT(500+$P19,"0000"),IF(Start.listina!$Y$8="","",TEXT($T19,"0")),TEXT(999999*RAND(),"000000")))</f>
        <v>2060310515586806</v>
      </c>
      <c r="X19" s="417">
        <f t="shared" si="12"/>
        <v>17</v>
      </c>
      <c r="Y19" s="415">
        <f t="shared" ca="1" si="2"/>
        <v>3</v>
      </c>
      <c r="Z19" s="333">
        <f t="shared" ca="1" si="13"/>
        <v>42</v>
      </c>
      <c r="AA19" s="333">
        <f t="shared" ca="1" si="14"/>
        <v>9</v>
      </c>
      <c r="AB19" s="333">
        <f t="shared" ca="1" si="15"/>
        <v>49</v>
      </c>
      <c r="AC19" s="333">
        <f t="shared" ca="1" si="16"/>
        <v>46</v>
      </c>
      <c r="AD19" s="333">
        <f t="shared" ca="1" si="17"/>
        <v>0</v>
      </c>
      <c r="AE19" s="333">
        <f t="shared" ca="1" si="18"/>
        <v>0</v>
      </c>
      <c r="AG19" s="333">
        <f ca="1">IF(TYPE(VLOOKUP($A19,'1.kolo'!$L$3:$L$66,1,0))&gt;3,VLOOKUP($A19,'1.kolo'!$K$3:$L$66,2,0),VLOOKUP($A19,'1.kolo'!$L$3:$O$66,4,0))</f>
        <v>42</v>
      </c>
      <c r="AH19" s="333">
        <f ca="1">IF(TYPE(VLOOKUP($A19,'1.kolo'!$L$3:$L$66,1,0))&gt;3,VLOOKUP($A19,'1.kolo'!$O$3:$Q$66,2,0),VLOOKUP($A19,'1.kolo'!$L$3:$N$66,2,0))</f>
        <v>1</v>
      </c>
      <c r="AI19" s="333">
        <f ca="1">IF(TYPE(VLOOKUP($A19,'1.kolo'!$L$3:$L$66,1,0))&gt;3,VLOOKUP($A19,'1.kolo'!$O$3:$Q$66,3,0),VLOOKUP($A19,'1.kolo'!$L$3:$N$66,3,0))</f>
        <v>9</v>
      </c>
      <c r="AJ19" s="333">
        <f t="shared" ca="1" si="19"/>
        <v>0</v>
      </c>
      <c r="AK19" s="333">
        <v>17</v>
      </c>
      <c r="AL19" s="442"/>
      <c r="AP19" s="333">
        <f ca="1">IF(TYPE(VLOOKUP($A19,'2.kolo'!$L$3:$L$66,1,0))&gt;3,IF(TYPE(VLOOKUP($A19,'2.kolo'!$K$3:$L$66,2,0))&gt;3,0,VLOOKUP($A19,'2.kolo'!$K$3:$L$66,2,0)),VLOOKUP($A19,'2.kolo'!$L$3:$O$66,4,0))</f>
        <v>9</v>
      </c>
      <c r="AQ19" s="333">
        <f ca="1">IF(TYPE(VLOOKUP($A19,'2.kolo'!$L$3:$L$66,1,0))&gt;3,IF(TYPE(VLOOKUP($A19,'2.kolo'!$O$3:$Q$66,2,0))&gt;3,0,VLOOKUP($A19,'2.kolo'!$O$3:$Q$66,2,0)),VLOOKUP($A19,'2.kolo'!$L$3:$N$66,2,0))</f>
        <v>0</v>
      </c>
      <c r="AR19" s="333">
        <f ca="1">IF(TYPE(VLOOKUP($A19,'2.kolo'!$L$3:$L$66,1,0))&gt;3,IF(TYPE(VLOOKUP($A19,'2.kolo'!$O$3:$Q$66,3,0))&gt;3,0,VLOOKUP($A19,'2.kolo'!$O$3:$Q$66,3,0)),VLOOKUP($A19,'2.kolo'!$L$3:$N$66,3,0))</f>
        <v>-3</v>
      </c>
      <c r="AS19" s="333">
        <f t="shared" ca="1" si="20"/>
        <v>0</v>
      </c>
      <c r="AT19" s="415">
        <v>16</v>
      </c>
      <c r="AU19" s="442" t="str">
        <f ca="1">IF(AT19="","",CONCATENATE(TEXT($O19,"0"),IF(Start.listina!$Y$5="","",TEXT(500+$P19,"000")),TEXT(999999*RAND(),"000000")))</f>
        <v>2011877</v>
      </c>
      <c r="AV19" s="333">
        <f t="shared" ca="1" si="3"/>
        <v>0</v>
      </c>
      <c r="AY19" s="333">
        <f ca="1">IF(TYPE(VLOOKUP($A19,'3.kolo'!$L$3:$L$66,1,0))&gt;3,IF(TYPE(VLOOKUP($A19,'3.kolo'!$K$3:$L$66,2,0))&gt;3,0,VLOOKUP($A19,'3.kolo'!$K$3:$L$66,2,0)),VLOOKUP($A19,'3.kolo'!$L$3:$O$66,4,0))</f>
        <v>49</v>
      </c>
      <c r="AZ19" s="333">
        <f ca="1">IF(TYPE(VLOOKUP($A19,'3.kolo'!$L$3:$L$66,1,0))&gt;3,IF(TYPE(VLOOKUP($A19,'3.kolo'!$O$3:$Q$66,2,0))&gt;3,0,VLOOKUP($A19,'3.kolo'!$O$3:$Q$66,2,0)),VLOOKUP($A19,'3.kolo'!$L$3:$N$66,2,0))</f>
        <v>0</v>
      </c>
      <c r="BA19" s="333">
        <f ca="1">IF(TYPE(VLOOKUP($A19,'3.kolo'!$L$3:$L$66,1,0))&gt;3,IF(TYPE(VLOOKUP($A19,'3.kolo'!$O$3:$Q$66,3,0))&gt;3,0,VLOOKUP($A19,'3.kolo'!$O$3:$Q$66,3,0)),VLOOKUP($A19,'3.kolo'!$L$3:$N$66,3,0))</f>
        <v>-2</v>
      </c>
      <c r="BB19" s="333">
        <f t="shared" ca="1" si="21"/>
        <v>0</v>
      </c>
      <c r="BC19" s="415">
        <v>15</v>
      </c>
      <c r="BD19" s="442" t="str">
        <f ca="1">IF(BC19="","",CONCATENATE(TEXT($O19,"0"),IF(Start.listina!$Y$5="","",TEXT(500+$P19,"000")),TEXT(999999*RAND(),"000000")))</f>
        <v>2908512</v>
      </c>
      <c r="BE19" s="333">
        <f t="shared" ca="1" si="4"/>
        <v>0</v>
      </c>
      <c r="BH19" s="333">
        <f ca="1">IF(TYPE(VLOOKUP($A19,'4.kolo'!$L$3:$L$66,1,0))&gt;3,IF(TYPE(VLOOKUP($A19,'4.kolo'!$K$3:$L$66,2,0))&gt;3,0,VLOOKUP($A19,'4.kolo'!$K$3:$L$66,2,0)),VLOOKUP($A19,'4.kolo'!$L$3:$O$66,4,0))</f>
        <v>46</v>
      </c>
      <c r="BI19" s="333">
        <f ca="1">IF(TYPE(VLOOKUP($A19,'4.kolo'!$L$3:$L$66,1,0))&gt;3,IF(TYPE(VLOOKUP($A19,'4.kolo'!$O$3:$Q$66,2,0))&gt;3,0,VLOOKUP($A19,'4.kolo'!$O$3:$Q$66,2,0)),VLOOKUP($A19,'4.kolo'!$L$3:$N$66,2,0))</f>
        <v>1</v>
      </c>
      <c r="BJ19" s="333">
        <f ca="1">IF(TYPE(VLOOKUP($A19,'4.kolo'!$L$3:$L$66,1,0))&gt;3,IF(TYPE(VLOOKUP($A19,'4.kolo'!$O$3:$Q$66,3,0))&gt;3,0,VLOOKUP($A19,'4.kolo'!$O$3:$Q$66,3,0)),VLOOKUP($A19,'4.kolo'!$L$3:$N$66,3,0))</f>
        <v>11</v>
      </c>
      <c r="BK19" s="333">
        <f t="shared" ca="1" si="22"/>
        <v>0</v>
      </c>
      <c r="BL19" s="415">
        <v>31</v>
      </c>
      <c r="BM19" s="442" t="str">
        <f ca="1">IF(BL19="","",CONCATENATE(TEXT($O19,"0"),IF(Start.listina!$Y$5="","",TEXT(500+$P19,"000")),TEXT(999999*RAND(),"000000")))</f>
        <v>2995280</v>
      </c>
      <c r="BN19" s="333">
        <f t="shared" ca="1" si="5"/>
        <v>0</v>
      </c>
      <c r="BQ19" s="333">
        <f ca="1">IF(TYPE(VLOOKUP($A19,'5.kolo'!$L$3:$L$66,1,0))&gt;3,IF(TYPE(VLOOKUP($A19,'5.kolo'!$K$3:$L$66,2,0))&gt;3,0,VLOOKUP($A19,'5.kolo'!$K$3:$L$66,2,0)),VLOOKUP($A19,'5.kolo'!$L$3:$O$66,4,0))</f>
        <v>0</v>
      </c>
      <c r="BR19" s="333">
        <f ca="1">IF(TYPE(VLOOKUP($A19,'5.kolo'!$L$3:$L$66,1,0))&gt;3,IF(TYPE(VLOOKUP($A19,'5.kolo'!$O$3:$Q$66,2,0))&gt;3,0,VLOOKUP($A19,'5.kolo'!$O$3:$Q$66,2,0)),VLOOKUP($A19,'5.kolo'!$L$3:$N$66,2,0))</f>
        <v>0</v>
      </c>
      <c r="BS19" s="333">
        <f ca="1">IF(TYPE(VLOOKUP($A19,'5.kolo'!$L$3:$L$66,1,0))&gt;3,IF(TYPE(VLOOKUP($A19,'5.kolo'!$O$3:$Q$66,3,0))&gt;3,0,VLOOKUP($A19,'5.kolo'!$O$3:$Q$66,3,0)),VLOOKUP($A19,'5.kolo'!$L$3:$N$66,3,0))</f>
        <v>0</v>
      </c>
      <c r="BT19" s="333">
        <f t="shared" ca="1" si="23"/>
        <v>0</v>
      </c>
      <c r="BU19" s="415"/>
      <c r="BV19" s="442" t="str">
        <f ca="1">IF(BU19="","",CONCATENATE(TEXT($O19,"0"),IF(Start.listina!$Y$5="","",TEXT(500+$P19,"000")),TEXT(999999*RAND(),"000000")))</f>
        <v/>
      </c>
      <c r="BW19" s="333">
        <f t="shared" ca="1" si="6"/>
        <v>0</v>
      </c>
      <c r="BZ19" s="333">
        <f ca="1">IF(TYPE(VLOOKUP($A19,'6.kolo'!$L$3:$L$66,1,0))&gt;3,IF(TYPE(VLOOKUP($A19,'6.kolo'!$K$3:$L$66,2,0))&gt;3,0,VLOOKUP($A19,'6.kolo'!$K$3:$L$66,2,0)),VLOOKUP($A19,'6.kolo'!$L$3:$O$66,4,0))</f>
        <v>0</v>
      </c>
      <c r="CA19" s="333">
        <f ca="1">IF(TYPE(VLOOKUP($A19,'6.kolo'!$L$3:$L$66,1,0))&gt;3,IF(TYPE(VLOOKUP($A19,'6.kolo'!$O$3:$Q$66,2,0))&gt;3,0,VLOOKUP($A19,'6.kolo'!$O$3:$Q$66,2,0)),VLOOKUP($A19,'6.kolo'!$L$3:$N$66,2,0))</f>
        <v>0</v>
      </c>
      <c r="CB19" s="333">
        <f ca="1">IF(TYPE(VLOOKUP($A19,'6.kolo'!$L$3:$L$66,1,0))&gt;3,IF(TYPE(VLOOKUP($A19,'6.kolo'!$O$3:$Q$66,3,0))&gt;3,0,VLOOKUP($A19,'6.kolo'!$O$3:$Q$66,3,0)),VLOOKUP($A19,'6.kolo'!$L$3:$N$66,3,0))</f>
        <v>0</v>
      </c>
      <c r="CC19" s="333">
        <f t="shared" ca="1" si="24"/>
        <v>0</v>
      </c>
      <c r="CD19" s="415"/>
      <c r="CE19" s="442" t="str">
        <f ca="1">IF(CD19="","",CONCATENATE(TEXT($O19,"0"),IF(Start.listina!$Y$5="","",TEXT(500+$P19,"000")),TEXT(999999*RAND(),"000000")))</f>
        <v/>
      </c>
      <c r="CF19" s="333">
        <f t="shared" ca="1" si="7"/>
        <v>0</v>
      </c>
    </row>
    <row r="20" spans="1:84" x14ac:dyDescent="0.25">
      <c r="A20" s="333">
        <f>IF(OR(Start.listina!H28&gt;Start.listina!$K$7,Start.listina!G28=TRUE),"",Start.listina!H28)</f>
        <v>18</v>
      </c>
      <c r="B20" s="333">
        <f>IF($A20&gt;Start.listina!$K$7,"",INT(($A20-1)/Start.listina!$O$7)+1)</f>
        <v>1</v>
      </c>
      <c r="C20" s="439" t="str">
        <f>IF(OR(Start.listina!H28&gt;Start.listina!$K$7,Start.listina!G28=TRUE)," - ",Start.listina!AL28)</f>
        <v>18 Club Rodamiento - Chmelař Ivo</v>
      </c>
      <c r="D20" s="333">
        <f>IF(OR(A20&gt;Start.listina!$K$7,TYPE(VLOOKUP(A20,$V$3:$X$130,3,0))&gt;3),"",VLOOKUP(A20,$V$3:$X$130,3,0))</f>
        <v>32</v>
      </c>
      <c r="E20" s="440">
        <f ca="1">IF(A20&gt;Start.listina!$K$7,"",IF(MIN(F20:K20)&gt;Start.listina!$Y$4,D20,MIN(F20:K20)))</f>
        <v>32</v>
      </c>
      <c r="F20" s="333">
        <f ca="1">IF(TYPE(VLOOKUP(C20,Konečné_pořadí_1_16!$B$2:$D$17,3,0))&lt;4,VLOOKUP(C20,Konečné_pořadí_1_16!$B$2:$D$17,3,0),999)</f>
        <v>999</v>
      </c>
      <c r="G20" s="333">
        <f ca="1">IF(TYPE(VLOOKUP(C20,'KO64'!$D$4:$D$129,1,0))&lt;4,64,999)</f>
        <v>999</v>
      </c>
      <c r="H20" s="333">
        <f ca="1">IF(TYPE(VLOOKUP(C20,'KO32'!$D$4:$D$65,1,0))&lt;4,32,999)</f>
        <v>999</v>
      </c>
      <c r="I20" s="333">
        <f ca="1">IF(TYPE(VLOOKUP(C20,'KO16'!$D$4:$D$33,1,0))&lt;4,16,999)</f>
        <v>999</v>
      </c>
      <c r="J20" s="333">
        <f ca="1">IF(TYPE(VLOOKUP(C20,'KO8'!$D$4:$D$17,1,0))&lt;4,8,999)</f>
        <v>999</v>
      </c>
      <c r="K20" s="333">
        <f ca="1">IF(TYPE(VLOOKUP(C20,'KO4'!$D$4:$D$9,1,0))&lt;4,4,999)</f>
        <v>999</v>
      </c>
      <c r="M20" s="334">
        <v>18</v>
      </c>
      <c r="O20" s="333">
        <f t="shared" ca="1" si="8"/>
        <v>2</v>
      </c>
      <c r="P20" s="333">
        <f t="shared" ca="1" si="9"/>
        <v>7</v>
      </c>
      <c r="Q20" s="333">
        <f t="shared" ca="1" si="0"/>
        <v>6</v>
      </c>
      <c r="R20" s="333">
        <f t="shared" ca="1" si="1"/>
        <v>1</v>
      </c>
      <c r="S20" s="333">
        <f t="shared" ca="1" si="10"/>
        <v>33</v>
      </c>
      <c r="T20" s="333">
        <f t="shared" ca="1" si="11"/>
        <v>0</v>
      </c>
      <c r="U20" s="415">
        <f t="shared" si="25"/>
        <v>18</v>
      </c>
      <c r="V20" s="415">
        <v>4</v>
      </c>
      <c r="W20" s="441" t="str">
        <f ca="1">IF($V20="","",CONCATENATE(TEXT($O20,"0"),IF(Start.listina!$Y$5="","",TEXT(500+$P20,"0000")),IF(Start.listina!$Y$6="","",CHOOSE(Start.listina!$Y$7,TEXT($Q20,"00"),CONCATENATE(TEXT($Q20,"00"),TEXT($S20,"000")), TEXT($R20,"00"))),TEXT(500+$P20,"0000"),IF(Start.listina!$Y$8="","",TEXT($T20,"0")),TEXT(999999*RAND(),"000000")))</f>
        <v>2060330507734249</v>
      </c>
      <c r="X20" s="417">
        <f t="shared" si="12"/>
        <v>18</v>
      </c>
      <c r="Y20" s="415">
        <f t="shared" ca="1" si="2"/>
        <v>2</v>
      </c>
      <c r="Z20" s="333">
        <f t="shared" ca="1" si="13"/>
        <v>43</v>
      </c>
      <c r="AA20" s="333">
        <f t="shared" ca="1" si="14"/>
        <v>49</v>
      </c>
      <c r="AB20" s="333">
        <f t="shared" ca="1" si="15"/>
        <v>37</v>
      </c>
      <c r="AC20" s="333">
        <f t="shared" ca="1" si="16"/>
        <v>30</v>
      </c>
      <c r="AD20" s="333">
        <f t="shared" ca="1" si="17"/>
        <v>0</v>
      </c>
      <c r="AE20" s="333">
        <f t="shared" ca="1" si="18"/>
        <v>0</v>
      </c>
      <c r="AG20" s="333">
        <f ca="1">IF(TYPE(VLOOKUP($A20,'1.kolo'!$L$3:$L$66,1,0))&gt;3,VLOOKUP($A20,'1.kolo'!$K$3:$L$66,2,0),VLOOKUP($A20,'1.kolo'!$L$3:$O$66,4,0))</f>
        <v>43</v>
      </c>
      <c r="AH20" s="333">
        <f ca="1">IF(TYPE(VLOOKUP($A20,'1.kolo'!$L$3:$L$66,1,0))&gt;3,VLOOKUP($A20,'1.kolo'!$O$3:$Q$66,2,0),VLOOKUP($A20,'1.kolo'!$L$3:$N$66,2,0))</f>
        <v>0</v>
      </c>
      <c r="AI20" s="333">
        <f ca="1">IF(TYPE(VLOOKUP($A20,'1.kolo'!$L$3:$L$66,1,0))&gt;3,VLOOKUP($A20,'1.kolo'!$O$3:$Q$66,3,0),VLOOKUP($A20,'1.kolo'!$L$3:$N$66,3,0))</f>
        <v>-2</v>
      </c>
      <c r="AJ20" s="333">
        <f t="shared" ca="1" si="19"/>
        <v>0</v>
      </c>
      <c r="AK20" s="333">
        <v>18</v>
      </c>
      <c r="AL20" s="442"/>
      <c r="AP20" s="333">
        <f ca="1">IF(TYPE(VLOOKUP($A20,'2.kolo'!$L$3:$L$66,1,0))&gt;3,IF(TYPE(VLOOKUP($A20,'2.kolo'!$K$3:$L$66,2,0))&gt;3,0,VLOOKUP($A20,'2.kolo'!$K$3:$L$66,2,0)),VLOOKUP($A20,'2.kolo'!$L$3:$O$66,4,0))</f>
        <v>49</v>
      </c>
      <c r="AQ20" s="333">
        <f ca="1">IF(TYPE(VLOOKUP($A20,'2.kolo'!$L$3:$L$66,1,0))&gt;3,IF(TYPE(VLOOKUP($A20,'2.kolo'!$O$3:$Q$66,2,0))&gt;3,0,VLOOKUP($A20,'2.kolo'!$O$3:$Q$66,2,0)),VLOOKUP($A20,'2.kolo'!$L$3:$N$66,2,0))</f>
        <v>0</v>
      </c>
      <c r="AR20" s="333">
        <f ca="1">IF(TYPE(VLOOKUP($A20,'2.kolo'!$L$3:$L$66,1,0))&gt;3,IF(TYPE(VLOOKUP($A20,'2.kolo'!$O$3:$Q$66,3,0))&gt;3,0,VLOOKUP($A20,'2.kolo'!$O$3:$Q$66,3,0)),VLOOKUP($A20,'2.kolo'!$L$3:$N$66,3,0))</f>
        <v>-1</v>
      </c>
      <c r="AS20" s="333">
        <f t="shared" ca="1" si="20"/>
        <v>0</v>
      </c>
      <c r="AT20" s="415">
        <v>40</v>
      </c>
      <c r="AU20" s="442" t="str">
        <f ca="1">IF(AT20="","",CONCATENATE(TEXT($O20,"0"),IF(Start.listina!$Y$5="","",TEXT(500+$P20,"000")),TEXT(999999*RAND(),"000000")))</f>
        <v>2808503</v>
      </c>
      <c r="AV20" s="333">
        <f t="shared" ca="1" si="3"/>
        <v>0</v>
      </c>
      <c r="AY20" s="333">
        <f ca="1">IF(TYPE(VLOOKUP($A20,'3.kolo'!$L$3:$L$66,1,0))&gt;3,IF(TYPE(VLOOKUP($A20,'3.kolo'!$K$3:$L$66,2,0))&gt;3,0,VLOOKUP($A20,'3.kolo'!$K$3:$L$66,2,0)),VLOOKUP($A20,'3.kolo'!$L$3:$O$66,4,0))</f>
        <v>37</v>
      </c>
      <c r="AZ20" s="333">
        <f ca="1">IF(TYPE(VLOOKUP($A20,'3.kolo'!$L$3:$L$66,1,0))&gt;3,IF(TYPE(VLOOKUP($A20,'3.kolo'!$O$3:$Q$66,2,0))&gt;3,0,VLOOKUP($A20,'3.kolo'!$O$3:$Q$66,2,0)),VLOOKUP($A20,'3.kolo'!$L$3:$N$66,2,0))</f>
        <v>1</v>
      </c>
      <c r="BA20" s="333">
        <f ca="1">IF(TYPE(VLOOKUP($A20,'3.kolo'!$L$3:$L$66,1,0))&gt;3,IF(TYPE(VLOOKUP($A20,'3.kolo'!$O$3:$Q$66,3,0))&gt;3,0,VLOOKUP($A20,'3.kolo'!$O$3:$Q$66,3,0)),VLOOKUP($A20,'3.kolo'!$L$3:$N$66,3,0))</f>
        <v>9</v>
      </c>
      <c r="BB20" s="333">
        <f t="shared" ca="1" si="21"/>
        <v>0</v>
      </c>
      <c r="BC20" s="415">
        <v>50</v>
      </c>
      <c r="BD20" s="442" t="str">
        <f ca="1">IF(BC20="","",CONCATENATE(TEXT($O20,"0"),IF(Start.listina!$Y$5="","",TEXT(500+$P20,"000")),TEXT(999999*RAND(),"000000")))</f>
        <v>2903023</v>
      </c>
      <c r="BE20" s="333">
        <f t="shared" ca="1" si="4"/>
        <v>0</v>
      </c>
      <c r="BH20" s="333">
        <f ca="1">IF(TYPE(VLOOKUP($A20,'4.kolo'!$L$3:$L$66,1,0))&gt;3,IF(TYPE(VLOOKUP($A20,'4.kolo'!$K$3:$L$66,2,0))&gt;3,0,VLOOKUP($A20,'4.kolo'!$K$3:$L$66,2,0)),VLOOKUP($A20,'4.kolo'!$L$3:$O$66,4,0))</f>
        <v>30</v>
      </c>
      <c r="BI20" s="333">
        <f ca="1">IF(TYPE(VLOOKUP($A20,'4.kolo'!$L$3:$L$66,1,0))&gt;3,IF(TYPE(VLOOKUP($A20,'4.kolo'!$O$3:$Q$66,2,0))&gt;3,0,VLOOKUP($A20,'4.kolo'!$O$3:$Q$66,2,0)),VLOOKUP($A20,'4.kolo'!$L$3:$N$66,2,0))</f>
        <v>1</v>
      </c>
      <c r="BJ20" s="333">
        <f ca="1">IF(TYPE(VLOOKUP($A20,'4.kolo'!$L$3:$L$66,1,0))&gt;3,IF(TYPE(VLOOKUP($A20,'4.kolo'!$O$3:$Q$66,3,0))&gt;3,0,VLOOKUP($A20,'4.kolo'!$O$3:$Q$66,3,0)),VLOOKUP($A20,'4.kolo'!$L$3:$N$66,3,0))</f>
        <v>1</v>
      </c>
      <c r="BK20" s="333">
        <f t="shared" ca="1" si="22"/>
        <v>0</v>
      </c>
      <c r="BL20" s="415">
        <v>45</v>
      </c>
      <c r="BM20" s="442" t="str">
        <f ca="1">IF(BL20="","",CONCATENATE(TEXT($O20,"0"),IF(Start.listina!$Y$5="","",TEXT(500+$P20,"000")),TEXT(999999*RAND(),"000000")))</f>
        <v>2166328</v>
      </c>
      <c r="BN20" s="333">
        <f t="shared" ca="1" si="5"/>
        <v>0</v>
      </c>
      <c r="BQ20" s="333">
        <f ca="1">IF(TYPE(VLOOKUP($A20,'5.kolo'!$L$3:$L$66,1,0))&gt;3,IF(TYPE(VLOOKUP($A20,'5.kolo'!$K$3:$L$66,2,0))&gt;3,0,VLOOKUP($A20,'5.kolo'!$K$3:$L$66,2,0)),VLOOKUP($A20,'5.kolo'!$L$3:$O$66,4,0))</f>
        <v>0</v>
      </c>
      <c r="BR20" s="333">
        <f ca="1">IF(TYPE(VLOOKUP($A20,'5.kolo'!$L$3:$L$66,1,0))&gt;3,IF(TYPE(VLOOKUP($A20,'5.kolo'!$O$3:$Q$66,2,0))&gt;3,0,VLOOKUP($A20,'5.kolo'!$O$3:$Q$66,2,0)),VLOOKUP($A20,'5.kolo'!$L$3:$N$66,2,0))</f>
        <v>0</v>
      </c>
      <c r="BS20" s="333">
        <f ca="1">IF(TYPE(VLOOKUP($A20,'5.kolo'!$L$3:$L$66,1,0))&gt;3,IF(TYPE(VLOOKUP($A20,'5.kolo'!$O$3:$Q$66,3,0))&gt;3,0,VLOOKUP($A20,'5.kolo'!$O$3:$Q$66,3,0)),VLOOKUP($A20,'5.kolo'!$L$3:$N$66,3,0))</f>
        <v>0</v>
      </c>
      <c r="BT20" s="333">
        <f t="shared" ca="1" si="23"/>
        <v>0</v>
      </c>
      <c r="BU20" s="415"/>
      <c r="BV20" s="442" t="str">
        <f ca="1">IF(BU20="","",CONCATENATE(TEXT($O20,"0"),IF(Start.listina!$Y$5="","",TEXT(500+$P20,"000")),TEXT(999999*RAND(),"000000")))</f>
        <v/>
      </c>
      <c r="BW20" s="333">
        <f t="shared" ca="1" si="6"/>
        <v>0</v>
      </c>
      <c r="BZ20" s="333">
        <f ca="1">IF(TYPE(VLOOKUP($A20,'6.kolo'!$L$3:$L$66,1,0))&gt;3,IF(TYPE(VLOOKUP($A20,'6.kolo'!$K$3:$L$66,2,0))&gt;3,0,VLOOKUP($A20,'6.kolo'!$K$3:$L$66,2,0)),VLOOKUP($A20,'6.kolo'!$L$3:$O$66,4,0))</f>
        <v>0</v>
      </c>
      <c r="CA20" s="333">
        <f ca="1">IF(TYPE(VLOOKUP($A20,'6.kolo'!$L$3:$L$66,1,0))&gt;3,IF(TYPE(VLOOKUP($A20,'6.kolo'!$O$3:$Q$66,2,0))&gt;3,0,VLOOKUP($A20,'6.kolo'!$O$3:$Q$66,2,0)),VLOOKUP($A20,'6.kolo'!$L$3:$N$66,2,0))</f>
        <v>0</v>
      </c>
      <c r="CB20" s="333">
        <f ca="1">IF(TYPE(VLOOKUP($A20,'6.kolo'!$L$3:$L$66,1,0))&gt;3,IF(TYPE(VLOOKUP($A20,'6.kolo'!$O$3:$Q$66,3,0))&gt;3,0,VLOOKUP($A20,'6.kolo'!$O$3:$Q$66,3,0)),VLOOKUP($A20,'6.kolo'!$L$3:$N$66,3,0))</f>
        <v>0</v>
      </c>
      <c r="CC20" s="333">
        <f t="shared" ca="1" si="24"/>
        <v>0</v>
      </c>
      <c r="CD20" s="415"/>
      <c r="CE20" s="442" t="str">
        <f ca="1">IF(CD20="","",CONCATENATE(TEXT($O20,"0"),IF(Start.listina!$Y$5="","",TEXT(500+$P20,"000")),TEXT(999999*RAND(),"000000")))</f>
        <v/>
      </c>
      <c r="CF20" s="333">
        <f t="shared" ca="1" si="7"/>
        <v>0</v>
      </c>
    </row>
    <row r="21" spans="1:84" x14ac:dyDescent="0.25">
      <c r="A21" s="333">
        <f>IF(OR(Start.listina!H29&gt;Start.listina!$K$7,Start.listina!G29=TRUE),"",Start.listina!H29)</f>
        <v>19</v>
      </c>
      <c r="B21" s="333">
        <f>IF($A21&gt;Start.listina!$K$7,"",INT(($A21-1)/Start.listina!$O$7)+1)</f>
        <v>1</v>
      </c>
      <c r="C21" s="439" t="str">
        <f>IF(OR(Start.listina!H29&gt;Start.listina!$K$7,Start.listina!G29=TRUE)," - ",Start.listina!AL29)</f>
        <v>19 Petank Club Praha - Vorel Jan</v>
      </c>
      <c r="D21" s="333">
        <f>IF(OR(A21&gt;Start.listina!$K$7,TYPE(VLOOKUP(A21,$V$3:$X$130,3,0))&gt;3),"",VLOOKUP(A21,$V$3:$X$130,3,0))</f>
        <v>4</v>
      </c>
      <c r="E21" s="440">
        <f ca="1">IF(A21&gt;Start.listina!$K$7,"",IF(MIN(F21:K21)&gt;Start.listina!$Y$4,D21,MIN(F21:K21)))</f>
        <v>10</v>
      </c>
      <c r="F21" s="333">
        <f ca="1">IF(TYPE(VLOOKUP(C21,Konečné_pořadí_1_16!$B$2:$D$17,3,0))&lt;4,VLOOKUP(C21,Konečné_pořadí_1_16!$B$2:$D$17,3,0),999)</f>
        <v>10</v>
      </c>
      <c r="G21" s="333">
        <f ca="1">IF(TYPE(VLOOKUP(C21,'KO64'!$D$4:$D$129,1,0))&lt;4,64,999)</f>
        <v>64</v>
      </c>
      <c r="H21" s="333">
        <f ca="1">IF(TYPE(VLOOKUP(C21,'KO32'!$D$4:$D$65,1,0))&lt;4,32,999)</f>
        <v>32</v>
      </c>
      <c r="I21" s="333">
        <f ca="1">IF(TYPE(VLOOKUP(C21,'KO16'!$D$4:$D$33,1,0))&lt;4,16,999)</f>
        <v>16</v>
      </c>
      <c r="J21" s="333">
        <f ca="1">IF(TYPE(VLOOKUP(C21,'KO8'!$D$4:$D$17,1,0))&lt;4,8,999)</f>
        <v>999</v>
      </c>
      <c r="K21" s="333">
        <f ca="1">IF(TYPE(VLOOKUP(C21,'KO4'!$D$4:$D$9,1,0))&lt;4,4,999)</f>
        <v>999</v>
      </c>
      <c r="M21" s="334">
        <v>19</v>
      </c>
      <c r="O21" s="333">
        <f t="shared" ca="1" si="8"/>
        <v>3</v>
      </c>
      <c r="P21" s="333">
        <f t="shared" ca="1" si="9"/>
        <v>0</v>
      </c>
      <c r="Q21" s="333">
        <f t="shared" ca="1" si="0"/>
        <v>12</v>
      </c>
      <c r="R21" s="333">
        <f t="shared" ca="1" si="1"/>
        <v>8</v>
      </c>
      <c r="S21" s="333">
        <f t="shared" ca="1" si="10"/>
        <v>32</v>
      </c>
      <c r="T21" s="333">
        <f t="shared" ca="1" si="11"/>
        <v>0</v>
      </c>
      <c r="U21" s="415">
        <f t="shared" si="25"/>
        <v>19</v>
      </c>
      <c r="V21" s="415">
        <v>50</v>
      </c>
      <c r="W21" s="441" t="str">
        <f ca="1">IF($V21="","",CONCATENATE(TEXT($O21,"0"),IF(Start.listina!$Y$5="","",TEXT(500+$P21,"0000")),IF(Start.listina!$Y$6="","",CHOOSE(Start.listina!$Y$7,TEXT($Q21,"00"),CONCATENATE(TEXT($Q21,"00"),TEXT($S21,"000")), TEXT($R21,"00"))),TEXT(500+$P21,"0000"),IF(Start.listina!$Y$8="","",TEXT($T21,"0")),TEXT(999999*RAND(),"000000")))</f>
        <v>3120320500243641</v>
      </c>
      <c r="X21" s="417">
        <f t="shared" si="12"/>
        <v>19</v>
      </c>
      <c r="Y21" s="415">
        <f t="shared" ca="1" si="2"/>
        <v>2</v>
      </c>
      <c r="Z21" s="333">
        <f t="shared" ca="1" si="13"/>
        <v>44</v>
      </c>
      <c r="AA21" s="333">
        <f t="shared" ca="1" si="14"/>
        <v>21</v>
      </c>
      <c r="AB21" s="333">
        <f t="shared" ca="1" si="15"/>
        <v>16</v>
      </c>
      <c r="AC21" s="333">
        <f t="shared" ca="1" si="16"/>
        <v>2</v>
      </c>
      <c r="AD21" s="333">
        <f t="shared" ca="1" si="17"/>
        <v>0</v>
      </c>
      <c r="AE21" s="333">
        <f t="shared" ca="1" si="18"/>
        <v>0</v>
      </c>
      <c r="AG21" s="333">
        <f ca="1">IF(TYPE(VLOOKUP($A21,'1.kolo'!$L$3:$L$66,1,0))&gt;3,VLOOKUP($A21,'1.kolo'!$K$3:$L$66,2,0),VLOOKUP($A21,'1.kolo'!$L$3:$O$66,4,0))</f>
        <v>44</v>
      </c>
      <c r="AH21" s="333">
        <f ca="1">IF(TYPE(VLOOKUP($A21,'1.kolo'!$L$3:$L$66,1,0))&gt;3,VLOOKUP($A21,'1.kolo'!$O$3:$Q$66,2,0),VLOOKUP($A21,'1.kolo'!$L$3:$N$66,2,0))</f>
        <v>1</v>
      </c>
      <c r="AI21" s="333">
        <f ca="1">IF(TYPE(VLOOKUP($A21,'1.kolo'!$L$3:$L$66,1,0))&gt;3,VLOOKUP($A21,'1.kolo'!$O$3:$Q$66,3,0),VLOOKUP($A21,'1.kolo'!$L$3:$N$66,3,0))</f>
        <v>1</v>
      </c>
      <c r="AJ21" s="333">
        <f t="shared" ca="1" si="19"/>
        <v>0</v>
      </c>
      <c r="AK21" s="333">
        <v>19</v>
      </c>
      <c r="AL21" s="442"/>
      <c r="AP21" s="333">
        <f ca="1">IF(TYPE(VLOOKUP($A21,'2.kolo'!$L$3:$L$66,1,0))&gt;3,IF(TYPE(VLOOKUP($A21,'2.kolo'!$K$3:$L$66,2,0))&gt;3,0,VLOOKUP($A21,'2.kolo'!$K$3:$L$66,2,0)),VLOOKUP($A21,'2.kolo'!$L$3:$O$66,4,0))</f>
        <v>21</v>
      </c>
      <c r="AQ21" s="333">
        <f ca="1">IF(TYPE(VLOOKUP($A21,'2.kolo'!$L$3:$L$66,1,0))&gt;3,IF(TYPE(VLOOKUP($A21,'2.kolo'!$O$3:$Q$66,2,0))&gt;3,0,VLOOKUP($A21,'2.kolo'!$O$3:$Q$66,2,0)),VLOOKUP($A21,'2.kolo'!$L$3:$N$66,2,0))</f>
        <v>1</v>
      </c>
      <c r="AR21" s="333">
        <f ca="1">IF(TYPE(VLOOKUP($A21,'2.kolo'!$L$3:$L$66,1,0))&gt;3,IF(TYPE(VLOOKUP($A21,'2.kolo'!$O$3:$Q$66,3,0))&gt;3,0,VLOOKUP($A21,'2.kolo'!$O$3:$Q$66,3,0)),VLOOKUP($A21,'2.kolo'!$L$3:$N$66,3,0))</f>
        <v>5</v>
      </c>
      <c r="AS21" s="333">
        <f t="shared" ca="1" si="20"/>
        <v>0</v>
      </c>
      <c r="AT21" s="415">
        <v>4</v>
      </c>
      <c r="AU21" s="442" t="str">
        <f ca="1">IF(AT21="","",CONCATENATE(TEXT($O21,"0"),IF(Start.listina!$Y$5="","",TEXT(500+$P21,"000")),TEXT(999999*RAND(),"000000")))</f>
        <v>3168265</v>
      </c>
      <c r="AV21" s="333">
        <f t="shared" ca="1" si="3"/>
        <v>0</v>
      </c>
      <c r="AY21" s="333">
        <f ca="1">IF(TYPE(VLOOKUP($A21,'3.kolo'!$L$3:$L$66,1,0))&gt;3,IF(TYPE(VLOOKUP($A21,'3.kolo'!$K$3:$L$66,2,0))&gt;3,0,VLOOKUP($A21,'3.kolo'!$K$3:$L$66,2,0)),VLOOKUP($A21,'3.kolo'!$L$3:$O$66,4,0))</f>
        <v>16</v>
      </c>
      <c r="AZ21" s="333">
        <f ca="1">IF(TYPE(VLOOKUP($A21,'3.kolo'!$L$3:$L$66,1,0))&gt;3,IF(TYPE(VLOOKUP($A21,'3.kolo'!$O$3:$Q$66,2,0))&gt;3,0,VLOOKUP($A21,'3.kolo'!$O$3:$Q$66,2,0)),VLOOKUP($A21,'3.kolo'!$L$3:$N$66,2,0))</f>
        <v>1</v>
      </c>
      <c r="BA21" s="333">
        <f ca="1">IF(TYPE(VLOOKUP($A21,'3.kolo'!$L$3:$L$66,1,0))&gt;3,IF(TYPE(VLOOKUP($A21,'3.kolo'!$O$3:$Q$66,3,0))&gt;3,0,VLOOKUP($A21,'3.kolo'!$O$3:$Q$66,3,0)),VLOOKUP($A21,'3.kolo'!$L$3:$N$66,3,0))</f>
        <v>4</v>
      </c>
      <c r="BB21" s="333">
        <f t="shared" ca="1" si="21"/>
        <v>0</v>
      </c>
      <c r="BC21" s="415">
        <v>26</v>
      </c>
      <c r="BD21" s="442" t="str">
        <f ca="1">IF(BC21="","",CONCATENATE(TEXT($O21,"0"),IF(Start.listina!$Y$5="","",TEXT(500+$P21,"000")),TEXT(999999*RAND(),"000000")))</f>
        <v>3298219</v>
      </c>
      <c r="BE21" s="333">
        <f t="shared" ca="1" si="4"/>
        <v>0</v>
      </c>
      <c r="BH21" s="333">
        <f ca="1">IF(TYPE(VLOOKUP($A21,'4.kolo'!$L$3:$L$66,1,0))&gt;3,IF(TYPE(VLOOKUP($A21,'4.kolo'!$K$3:$L$66,2,0))&gt;3,0,VLOOKUP($A21,'4.kolo'!$K$3:$L$66,2,0)),VLOOKUP($A21,'4.kolo'!$L$3:$O$66,4,0))</f>
        <v>2</v>
      </c>
      <c r="BI21" s="333">
        <f ca="1">IF(TYPE(VLOOKUP($A21,'4.kolo'!$L$3:$L$66,1,0))&gt;3,IF(TYPE(VLOOKUP($A21,'4.kolo'!$O$3:$Q$66,2,0))&gt;3,0,VLOOKUP($A21,'4.kolo'!$O$3:$Q$66,2,0)),VLOOKUP($A21,'4.kolo'!$L$3:$N$66,2,0))</f>
        <v>0</v>
      </c>
      <c r="BJ21" s="333">
        <f ca="1">IF(TYPE(VLOOKUP($A21,'4.kolo'!$L$3:$L$66,1,0))&gt;3,IF(TYPE(VLOOKUP($A21,'4.kolo'!$O$3:$Q$66,3,0))&gt;3,0,VLOOKUP($A21,'4.kolo'!$O$3:$Q$66,3,0)),VLOOKUP($A21,'4.kolo'!$L$3:$N$66,3,0))</f>
        <v>-10</v>
      </c>
      <c r="BK21" s="333">
        <f t="shared" ca="1" si="22"/>
        <v>0</v>
      </c>
      <c r="BL21" s="415">
        <v>21</v>
      </c>
      <c r="BM21" s="442" t="str">
        <f ca="1">IF(BL21="","",CONCATENATE(TEXT($O21,"0"),IF(Start.listina!$Y$5="","",TEXT(500+$P21,"000")),TEXT(999999*RAND(),"000000")))</f>
        <v>3534620</v>
      </c>
      <c r="BN21" s="333">
        <f t="shared" ca="1" si="5"/>
        <v>0</v>
      </c>
      <c r="BQ21" s="333">
        <f ca="1">IF(TYPE(VLOOKUP($A21,'5.kolo'!$L$3:$L$66,1,0))&gt;3,IF(TYPE(VLOOKUP($A21,'5.kolo'!$K$3:$L$66,2,0))&gt;3,0,VLOOKUP($A21,'5.kolo'!$K$3:$L$66,2,0)),VLOOKUP($A21,'5.kolo'!$L$3:$O$66,4,0))</f>
        <v>0</v>
      </c>
      <c r="BR21" s="333">
        <f ca="1">IF(TYPE(VLOOKUP($A21,'5.kolo'!$L$3:$L$66,1,0))&gt;3,IF(TYPE(VLOOKUP($A21,'5.kolo'!$O$3:$Q$66,2,0))&gt;3,0,VLOOKUP($A21,'5.kolo'!$O$3:$Q$66,2,0)),VLOOKUP($A21,'5.kolo'!$L$3:$N$66,2,0))</f>
        <v>0</v>
      </c>
      <c r="BS21" s="333">
        <f ca="1">IF(TYPE(VLOOKUP($A21,'5.kolo'!$L$3:$L$66,1,0))&gt;3,IF(TYPE(VLOOKUP($A21,'5.kolo'!$O$3:$Q$66,3,0))&gt;3,0,VLOOKUP($A21,'5.kolo'!$O$3:$Q$66,3,0)),VLOOKUP($A21,'5.kolo'!$L$3:$N$66,3,0))</f>
        <v>0</v>
      </c>
      <c r="BT21" s="333">
        <f t="shared" ca="1" si="23"/>
        <v>0</v>
      </c>
      <c r="BU21" s="415"/>
      <c r="BV21" s="442" t="str">
        <f ca="1">IF(BU21="","",CONCATENATE(TEXT($O21,"0"),IF(Start.listina!$Y$5="","",TEXT(500+$P21,"000")),TEXT(999999*RAND(),"000000")))</f>
        <v/>
      </c>
      <c r="BW21" s="333">
        <f t="shared" ca="1" si="6"/>
        <v>0</v>
      </c>
      <c r="BZ21" s="333">
        <f ca="1">IF(TYPE(VLOOKUP($A21,'6.kolo'!$L$3:$L$66,1,0))&gt;3,IF(TYPE(VLOOKUP($A21,'6.kolo'!$K$3:$L$66,2,0))&gt;3,0,VLOOKUP($A21,'6.kolo'!$K$3:$L$66,2,0)),VLOOKUP($A21,'6.kolo'!$L$3:$O$66,4,0))</f>
        <v>0</v>
      </c>
      <c r="CA21" s="333">
        <f ca="1">IF(TYPE(VLOOKUP($A21,'6.kolo'!$L$3:$L$66,1,0))&gt;3,IF(TYPE(VLOOKUP($A21,'6.kolo'!$O$3:$Q$66,2,0))&gt;3,0,VLOOKUP($A21,'6.kolo'!$O$3:$Q$66,2,0)),VLOOKUP($A21,'6.kolo'!$L$3:$N$66,2,0))</f>
        <v>0</v>
      </c>
      <c r="CB21" s="333">
        <f ca="1">IF(TYPE(VLOOKUP($A21,'6.kolo'!$L$3:$L$66,1,0))&gt;3,IF(TYPE(VLOOKUP($A21,'6.kolo'!$O$3:$Q$66,3,0))&gt;3,0,VLOOKUP($A21,'6.kolo'!$O$3:$Q$66,3,0)),VLOOKUP($A21,'6.kolo'!$L$3:$N$66,3,0))</f>
        <v>0</v>
      </c>
      <c r="CC21" s="333">
        <f t="shared" ca="1" si="24"/>
        <v>0</v>
      </c>
      <c r="CD21" s="415"/>
      <c r="CE21" s="442" t="str">
        <f ca="1">IF(CD21="","",CONCATENATE(TEXT($O21,"0"),IF(Start.listina!$Y$5="","",TEXT(500+$P21,"000")),TEXT(999999*RAND(),"000000")))</f>
        <v/>
      </c>
      <c r="CF21" s="333">
        <f t="shared" ca="1" si="7"/>
        <v>0</v>
      </c>
    </row>
    <row r="22" spans="1:84" x14ac:dyDescent="0.25">
      <c r="A22" s="333">
        <f>IF(OR(Start.listina!H30&gt;Start.listina!$K$7,Start.listina!G30=TRUE),"",Start.listina!H30)</f>
        <v>20</v>
      </c>
      <c r="B22" s="333">
        <f>IF($A22&gt;Start.listina!$K$7,"",INT(($A22-1)/Start.listina!$O$7)+1)</f>
        <v>1</v>
      </c>
      <c r="C22" s="439" t="str">
        <f>IF(OR(Start.listina!H30&gt;Start.listina!$K$7,Start.listina!G30=TRUE)," - ",Start.listina!AL30)</f>
        <v>20 Club Rodamiento - Dlouhá Ivana</v>
      </c>
      <c r="D22" s="333">
        <f>IF(OR(A22&gt;Start.listina!$K$7,TYPE(VLOOKUP(A22,$V$3:$X$130,3,0))&gt;3),"",VLOOKUP(A22,$V$3:$X$130,3,0))</f>
        <v>10</v>
      </c>
      <c r="E22" s="440">
        <f ca="1">IF(A22&gt;Start.listina!$K$7,"",IF(MIN(F22:K22)&gt;Start.listina!$Y$4,D22,MIN(F22:K22)))</f>
        <v>7</v>
      </c>
      <c r="F22" s="333">
        <f ca="1">IF(TYPE(VLOOKUP(C22,Konečné_pořadí_1_16!$B$2:$D$17,3,0))&lt;4,VLOOKUP(C22,Konečné_pořadí_1_16!$B$2:$D$17,3,0),999)</f>
        <v>7</v>
      </c>
      <c r="G22" s="333">
        <f ca="1">IF(TYPE(VLOOKUP(C22,'KO64'!$D$4:$D$129,1,0))&lt;4,64,999)</f>
        <v>64</v>
      </c>
      <c r="H22" s="333">
        <f ca="1">IF(TYPE(VLOOKUP(C22,'KO32'!$D$4:$D$65,1,0))&lt;4,32,999)</f>
        <v>32</v>
      </c>
      <c r="I22" s="333">
        <f ca="1">IF(TYPE(VLOOKUP(C22,'KO16'!$D$4:$D$33,1,0))&lt;4,16,999)</f>
        <v>16</v>
      </c>
      <c r="J22" s="333">
        <f ca="1">IF(TYPE(VLOOKUP(C22,'KO8'!$D$4:$D$17,1,0))&lt;4,8,999)</f>
        <v>8</v>
      </c>
      <c r="K22" s="333">
        <f ca="1">IF(TYPE(VLOOKUP(C22,'KO4'!$D$4:$D$9,1,0))&lt;4,4,999)</f>
        <v>999</v>
      </c>
      <c r="M22" s="334">
        <v>20</v>
      </c>
      <c r="O22" s="333">
        <f t="shared" ca="1" si="8"/>
        <v>3</v>
      </c>
      <c r="P22" s="333">
        <f t="shared" ca="1" si="9"/>
        <v>17</v>
      </c>
      <c r="Q22" s="333">
        <f t="shared" ca="1" si="0"/>
        <v>8</v>
      </c>
      <c r="R22" s="333">
        <f t="shared" ca="1" si="1"/>
        <v>5</v>
      </c>
      <c r="S22" s="333">
        <f t="shared" ca="1" si="10"/>
        <v>38</v>
      </c>
      <c r="T22" s="333">
        <f t="shared" ca="1" si="11"/>
        <v>0</v>
      </c>
      <c r="U22" s="415">
        <f t="shared" si="25"/>
        <v>20</v>
      </c>
      <c r="V22" s="415">
        <v>31</v>
      </c>
      <c r="W22" s="441" t="str">
        <f ca="1">IF($V22="","",CONCATENATE(TEXT($O22,"0"),IF(Start.listina!$Y$5="","",TEXT(500+$P22,"0000")),IF(Start.listina!$Y$6="","",CHOOSE(Start.listina!$Y$7,TEXT($Q22,"00"),CONCATENATE(TEXT($Q22,"00"),TEXT($S22,"000")), TEXT($R22,"00"))),TEXT(500+$P22,"0000"),IF(Start.listina!$Y$8="","",TEXT($T22,"0")),TEXT(999999*RAND(),"000000")))</f>
        <v>3080380517801007</v>
      </c>
      <c r="X22" s="417">
        <f t="shared" si="12"/>
        <v>20</v>
      </c>
      <c r="Y22" s="415">
        <f t="shared" ca="1" si="2"/>
        <v>2</v>
      </c>
      <c r="Z22" s="333">
        <f t="shared" ca="1" si="13"/>
        <v>45</v>
      </c>
      <c r="AA22" s="333">
        <f t="shared" ca="1" si="14"/>
        <v>41</v>
      </c>
      <c r="AB22" s="333">
        <f t="shared" ca="1" si="15"/>
        <v>32</v>
      </c>
      <c r="AC22" s="333">
        <f t="shared" ca="1" si="16"/>
        <v>50</v>
      </c>
      <c r="AD22" s="333">
        <f t="shared" ca="1" si="17"/>
        <v>0</v>
      </c>
      <c r="AE22" s="333">
        <f t="shared" ca="1" si="18"/>
        <v>0</v>
      </c>
      <c r="AG22" s="333">
        <f ca="1">IF(TYPE(VLOOKUP($A22,'1.kolo'!$L$3:$L$66,1,0))&gt;3,VLOOKUP($A22,'1.kolo'!$K$3:$L$66,2,0),VLOOKUP($A22,'1.kolo'!$L$3:$O$66,4,0))</f>
        <v>45</v>
      </c>
      <c r="AH22" s="333">
        <f ca="1">IF(TYPE(VLOOKUP($A22,'1.kolo'!$L$3:$L$66,1,0))&gt;3,VLOOKUP($A22,'1.kolo'!$O$3:$Q$66,2,0),VLOOKUP($A22,'1.kolo'!$L$3:$N$66,2,0))</f>
        <v>0</v>
      </c>
      <c r="AI22" s="333">
        <f ca="1">IF(TYPE(VLOOKUP($A22,'1.kolo'!$L$3:$L$66,1,0))&gt;3,VLOOKUP($A22,'1.kolo'!$O$3:$Q$66,3,0),VLOOKUP($A22,'1.kolo'!$L$3:$N$66,3,0))</f>
        <v>-1</v>
      </c>
      <c r="AJ22" s="333">
        <f t="shared" ca="1" si="19"/>
        <v>0</v>
      </c>
      <c r="AK22" s="333">
        <v>20</v>
      </c>
      <c r="AL22" s="442"/>
      <c r="AP22" s="333">
        <f ca="1">IF(TYPE(VLOOKUP($A22,'2.kolo'!$L$3:$L$66,1,0))&gt;3,IF(TYPE(VLOOKUP($A22,'2.kolo'!$K$3:$L$66,2,0))&gt;3,0,VLOOKUP($A22,'2.kolo'!$K$3:$L$66,2,0)),VLOOKUP($A22,'2.kolo'!$L$3:$O$66,4,0))</f>
        <v>41</v>
      </c>
      <c r="AQ22" s="333">
        <f ca="1">IF(TYPE(VLOOKUP($A22,'2.kolo'!$L$3:$L$66,1,0))&gt;3,IF(TYPE(VLOOKUP($A22,'2.kolo'!$O$3:$Q$66,2,0))&gt;3,0,VLOOKUP($A22,'2.kolo'!$O$3:$Q$66,2,0)),VLOOKUP($A22,'2.kolo'!$L$3:$N$66,2,0))</f>
        <v>1</v>
      </c>
      <c r="AR22" s="333">
        <f ca="1">IF(TYPE(VLOOKUP($A22,'2.kolo'!$L$3:$L$66,1,0))&gt;3,IF(TYPE(VLOOKUP($A22,'2.kolo'!$O$3:$Q$66,3,0))&gt;3,0,VLOOKUP($A22,'2.kolo'!$O$3:$Q$66,3,0)),VLOOKUP($A22,'2.kolo'!$L$3:$N$66,3,0))</f>
        <v>2</v>
      </c>
      <c r="AS22" s="333">
        <f t="shared" ca="1" si="20"/>
        <v>0</v>
      </c>
      <c r="AT22" s="415">
        <v>10</v>
      </c>
      <c r="AU22" s="442" t="str">
        <f ca="1">IF(AT22="","",CONCATENATE(TEXT($O22,"0"),IF(Start.listina!$Y$5="","",TEXT(500+$P22,"000")),TEXT(999999*RAND(),"000000")))</f>
        <v>3376275</v>
      </c>
      <c r="AV22" s="333">
        <f t="shared" ca="1" si="3"/>
        <v>0</v>
      </c>
      <c r="AY22" s="333">
        <f ca="1">IF(TYPE(VLOOKUP($A22,'3.kolo'!$L$3:$L$66,1,0))&gt;3,IF(TYPE(VLOOKUP($A22,'3.kolo'!$K$3:$L$66,2,0))&gt;3,0,VLOOKUP($A22,'3.kolo'!$K$3:$L$66,2,0)),VLOOKUP($A22,'3.kolo'!$L$3:$O$66,4,0))</f>
        <v>32</v>
      </c>
      <c r="AZ22" s="333">
        <f ca="1">IF(TYPE(VLOOKUP($A22,'3.kolo'!$L$3:$L$66,1,0))&gt;3,IF(TYPE(VLOOKUP($A22,'3.kolo'!$O$3:$Q$66,2,0))&gt;3,0,VLOOKUP($A22,'3.kolo'!$O$3:$Q$66,2,0)),VLOOKUP($A22,'3.kolo'!$L$3:$N$66,2,0))</f>
        <v>1</v>
      </c>
      <c r="BA22" s="333">
        <f ca="1">IF(TYPE(VLOOKUP($A22,'3.kolo'!$L$3:$L$66,1,0))&gt;3,IF(TYPE(VLOOKUP($A22,'3.kolo'!$O$3:$Q$66,3,0))&gt;3,0,VLOOKUP($A22,'3.kolo'!$O$3:$Q$66,3,0)),VLOOKUP($A22,'3.kolo'!$L$3:$N$66,3,0))</f>
        <v>9</v>
      </c>
      <c r="BB22" s="333">
        <f t="shared" ca="1" si="21"/>
        <v>0</v>
      </c>
      <c r="BC22" s="415">
        <v>14</v>
      </c>
      <c r="BD22" s="442" t="str">
        <f ca="1">IF(BC22="","",CONCATENATE(TEXT($O22,"0"),IF(Start.listina!$Y$5="","",TEXT(500+$P22,"000")),TEXT(999999*RAND(),"000000")))</f>
        <v>3068954</v>
      </c>
      <c r="BE22" s="333">
        <f t="shared" ca="1" si="4"/>
        <v>0</v>
      </c>
      <c r="BH22" s="333">
        <f ca="1">IF(TYPE(VLOOKUP($A22,'4.kolo'!$L$3:$L$66,1,0))&gt;3,IF(TYPE(VLOOKUP($A22,'4.kolo'!$K$3:$L$66,2,0))&gt;3,0,VLOOKUP($A22,'4.kolo'!$K$3:$L$66,2,0)),VLOOKUP($A22,'4.kolo'!$L$3:$O$66,4,0))</f>
        <v>50</v>
      </c>
      <c r="BI22" s="333">
        <f ca="1">IF(TYPE(VLOOKUP($A22,'4.kolo'!$L$3:$L$66,1,0))&gt;3,IF(TYPE(VLOOKUP($A22,'4.kolo'!$O$3:$Q$66,2,0))&gt;3,0,VLOOKUP($A22,'4.kolo'!$O$3:$Q$66,2,0)),VLOOKUP($A22,'4.kolo'!$L$3:$N$66,2,0))</f>
        <v>1</v>
      </c>
      <c r="BJ22" s="333">
        <f ca="1">IF(TYPE(VLOOKUP($A22,'4.kolo'!$L$3:$L$66,1,0))&gt;3,IF(TYPE(VLOOKUP($A22,'4.kolo'!$O$3:$Q$66,3,0))&gt;3,0,VLOOKUP($A22,'4.kolo'!$O$3:$Q$66,3,0)),VLOOKUP($A22,'4.kolo'!$L$3:$N$66,3,0))</f>
        <v>7</v>
      </c>
      <c r="BK22" s="333">
        <f t="shared" ca="1" si="22"/>
        <v>0</v>
      </c>
      <c r="BL22" s="415">
        <v>9</v>
      </c>
      <c r="BM22" s="442" t="str">
        <f ca="1">IF(BL22="","",CONCATENATE(TEXT($O22,"0"),IF(Start.listina!$Y$5="","",TEXT(500+$P22,"000")),TEXT(999999*RAND(),"000000")))</f>
        <v>3234518</v>
      </c>
      <c r="BN22" s="333">
        <f t="shared" ca="1" si="5"/>
        <v>0</v>
      </c>
      <c r="BQ22" s="333">
        <f ca="1">IF(TYPE(VLOOKUP($A22,'5.kolo'!$L$3:$L$66,1,0))&gt;3,IF(TYPE(VLOOKUP($A22,'5.kolo'!$K$3:$L$66,2,0))&gt;3,0,VLOOKUP($A22,'5.kolo'!$K$3:$L$66,2,0)),VLOOKUP($A22,'5.kolo'!$L$3:$O$66,4,0))</f>
        <v>0</v>
      </c>
      <c r="BR22" s="333">
        <f ca="1">IF(TYPE(VLOOKUP($A22,'5.kolo'!$L$3:$L$66,1,0))&gt;3,IF(TYPE(VLOOKUP($A22,'5.kolo'!$O$3:$Q$66,2,0))&gt;3,0,VLOOKUP($A22,'5.kolo'!$O$3:$Q$66,2,0)),VLOOKUP($A22,'5.kolo'!$L$3:$N$66,2,0))</f>
        <v>0</v>
      </c>
      <c r="BS22" s="333">
        <f ca="1">IF(TYPE(VLOOKUP($A22,'5.kolo'!$L$3:$L$66,1,0))&gt;3,IF(TYPE(VLOOKUP($A22,'5.kolo'!$O$3:$Q$66,3,0))&gt;3,0,VLOOKUP($A22,'5.kolo'!$O$3:$Q$66,3,0)),VLOOKUP($A22,'5.kolo'!$L$3:$N$66,3,0))</f>
        <v>0</v>
      </c>
      <c r="BT22" s="333">
        <f t="shared" ca="1" si="23"/>
        <v>0</v>
      </c>
      <c r="BU22" s="415"/>
      <c r="BV22" s="442" t="str">
        <f ca="1">IF(BU22="","",CONCATENATE(TEXT($O22,"0"),IF(Start.listina!$Y$5="","",TEXT(500+$P22,"000")),TEXT(999999*RAND(),"000000")))</f>
        <v/>
      </c>
      <c r="BW22" s="333">
        <f t="shared" ca="1" si="6"/>
        <v>0</v>
      </c>
      <c r="BZ22" s="333">
        <f ca="1">IF(TYPE(VLOOKUP($A22,'6.kolo'!$L$3:$L$66,1,0))&gt;3,IF(TYPE(VLOOKUP($A22,'6.kolo'!$K$3:$L$66,2,0))&gt;3,0,VLOOKUP($A22,'6.kolo'!$K$3:$L$66,2,0)),VLOOKUP($A22,'6.kolo'!$L$3:$O$66,4,0))</f>
        <v>0</v>
      </c>
      <c r="CA22" s="333">
        <f ca="1">IF(TYPE(VLOOKUP($A22,'6.kolo'!$L$3:$L$66,1,0))&gt;3,IF(TYPE(VLOOKUP($A22,'6.kolo'!$O$3:$Q$66,2,0))&gt;3,0,VLOOKUP($A22,'6.kolo'!$O$3:$Q$66,2,0)),VLOOKUP($A22,'6.kolo'!$L$3:$N$66,2,0))</f>
        <v>0</v>
      </c>
      <c r="CB22" s="333">
        <f ca="1">IF(TYPE(VLOOKUP($A22,'6.kolo'!$L$3:$L$66,1,0))&gt;3,IF(TYPE(VLOOKUP($A22,'6.kolo'!$O$3:$Q$66,3,0))&gt;3,0,VLOOKUP($A22,'6.kolo'!$O$3:$Q$66,3,0)),VLOOKUP($A22,'6.kolo'!$L$3:$N$66,3,0))</f>
        <v>0</v>
      </c>
      <c r="CC22" s="333">
        <f t="shared" ca="1" si="24"/>
        <v>0</v>
      </c>
      <c r="CD22" s="415"/>
      <c r="CE22" s="442" t="str">
        <f ca="1">IF(CD22="","",CONCATENATE(TEXT($O22,"0"),IF(Start.listina!$Y$5="","",TEXT(500+$P22,"000")),TEXT(999999*RAND(),"000000")))</f>
        <v/>
      </c>
      <c r="CF22" s="333">
        <f t="shared" ca="1" si="7"/>
        <v>0</v>
      </c>
    </row>
    <row r="23" spans="1:84" x14ac:dyDescent="0.25">
      <c r="A23" s="333">
        <f>IF(OR(Start.listina!H31&gt;Start.listina!$K$7,Start.listina!G31=TRUE),"",Start.listina!H31)</f>
        <v>21</v>
      </c>
      <c r="B23" s="333">
        <f>IF($A23&gt;Start.listina!$K$7,"",INT(($A23-1)/Start.listina!$O$7)+1)</f>
        <v>1</v>
      </c>
      <c r="C23" s="439" t="str">
        <f>IF(OR(Start.listina!H31&gt;Start.listina!$K$7,Start.listina!G31=TRUE)," - ",Start.listina!AL31)</f>
        <v>21 JAPKO - Kubík Jaroslav</v>
      </c>
      <c r="D23" s="333">
        <f>IF(OR(A23&gt;Start.listina!$K$7,TYPE(VLOOKUP(A23,$V$3:$X$130,3,0))&gt;3),"",VLOOKUP(A23,$V$3:$X$130,3,0))</f>
        <v>22</v>
      </c>
      <c r="E23" s="440">
        <f ca="1">IF(A23&gt;Start.listina!$K$7,"",IF(MIN(F23:K23)&gt;Start.listina!$Y$4,D23,MIN(F23:K23)))</f>
        <v>22</v>
      </c>
      <c r="F23" s="333">
        <f ca="1">IF(TYPE(VLOOKUP(C23,Konečné_pořadí_1_16!$B$2:$D$17,3,0))&lt;4,VLOOKUP(C23,Konečné_pořadí_1_16!$B$2:$D$17,3,0),999)</f>
        <v>999</v>
      </c>
      <c r="G23" s="333">
        <f ca="1">IF(TYPE(VLOOKUP(C23,'KO64'!$D$4:$D$129,1,0))&lt;4,64,999)</f>
        <v>999</v>
      </c>
      <c r="H23" s="333">
        <f ca="1">IF(TYPE(VLOOKUP(C23,'KO32'!$D$4:$D$65,1,0))&lt;4,32,999)</f>
        <v>999</v>
      </c>
      <c r="I23" s="333">
        <f ca="1">IF(TYPE(VLOOKUP(C23,'KO16'!$D$4:$D$33,1,0))&lt;4,16,999)</f>
        <v>999</v>
      </c>
      <c r="J23" s="333">
        <f ca="1">IF(TYPE(VLOOKUP(C23,'KO8'!$D$4:$D$17,1,0))&lt;4,8,999)</f>
        <v>999</v>
      </c>
      <c r="K23" s="333">
        <f ca="1">IF(TYPE(VLOOKUP(C23,'KO4'!$D$4:$D$9,1,0))&lt;4,4,999)</f>
        <v>999</v>
      </c>
      <c r="M23" s="334">
        <v>21</v>
      </c>
      <c r="O23" s="333">
        <f t="shared" ca="1" si="8"/>
        <v>2</v>
      </c>
      <c r="P23" s="333">
        <f t="shared" ca="1" si="9"/>
        <v>5</v>
      </c>
      <c r="Q23" s="333">
        <f t="shared" ca="1" si="0"/>
        <v>9</v>
      </c>
      <c r="R23" s="333">
        <f t="shared" ca="1" si="1"/>
        <v>3</v>
      </c>
      <c r="S23" s="333">
        <f t="shared" ca="1" si="10"/>
        <v>33</v>
      </c>
      <c r="T23" s="333">
        <f t="shared" ca="1" si="11"/>
        <v>0</v>
      </c>
      <c r="U23" s="415">
        <f t="shared" si="25"/>
        <v>21</v>
      </c>
      <c r="V23" s="415">
        <v>24</v>
      </c>
      <c r="W23" s="441" t="str">
        <f ca="1">IF($V23="","",CONCATENATE(TEXT($O23,"0"),IF(Start.listina!$Y$5="","",TEXT(500+$P23,"0000")),IF(Start.listina!$Y$6="","",CHOOSE(Start.listina!$Y$7,TEXT($Q23,"00"),CONCATENATE(TEXT($Q23,"00"),TEXT($S23,"000")), TEXT($R23,"00"))),TEXT(500+$P23,"0000"),IF(Start.listina!$Y$8="","",TEXT($T23,"0")),TEXT(999999*RAND(),"000000")))</f>
        <v>2090330505888170</v>
      </c>
      <c r="X23" s="417">
        <f t="shared" si="12"/>
        <v>21</v>
      </c>
      <c r="Y23" s="415">
        <f t="shared" ca="1" si="2"/>
        <v>2</v>
      </c>
      <c r="Z23" s="333">
        <f t="shared" ca="1" si="13"/>
        <v>46</v>
      </c>
      <c r="AA23" s="333">
        <f t="shared" ca="1" si="14"/>
        <v>19</v>
      </c>
      <c r="AB23" s="333">
        <f t="shared" ca="1" si="15"/>
        <v>51</v>
      </c>
      <c r="AC23" s="333">
        <f t="shared" ca="1" si="16"/>
        <v>9</v>
      </c>
      <c r="AD23" s="333">
        <f t="shared" ca="1" si="17"/>
        <v>0</v>
      </c>
      <c r="AE23" s="333">
        <f t="shared" ca="1" si="18"/>
        <v>0</v>
      </c>
      <c r="AG23" s="333">
        <f ca="1">IF(TYPE(VLOOKUP($A23,'1.kolo'!$L$3:$L$66,1,0))&gt;3,VLOOKUP($A23,'1.kolo'!$K$3:$L$66,2,0),VLOOKUP($A23,'1.kolo'!$L$3:$O$66,4,0))</f>
        <v>46</v>
      </c>
      <c r="AH23" s="333">
        <f ca="1">IF(TYPE(VLOOKUP($A23,'1.kolo'!$L$3:$L$66,1,0))&gt;3,VLOOKUP($A23,'1.kolo'!$O$3:$Q$66,2,0),VLOOKUP($A23,'1.kolo'!$L$3:$N$66,2,0))</f>
        <v>1</v>
      </c>
      <c r="AI23" s="333">
        <f ca="1">IF(TYPE(VLOOKUP($A23,'1.kolo'!$L$3:$L$66,1,0))&gt;3,VLOOKUP($A23,'1.kolo'!$O$3:$Q$66,3,0),VLOOKUP($A23,'1.kolo'!$L$3:$N$66,3,0))</f>
        <v>6</v>
      </c>
      <c r="AJ23" s="333">
        <f t="shared" ca="1" si="19"/>
        <v>0</v>
      </c>
      <c r="AK23" s="333">
        <v>21</v>
      </c>
      <c r="AL23" s="442"/>
      <c r="AP23" s="333">
        <f ca="1">IF(TYPE(VLOOKUP($A23,'2.kolo'!$L$3:$L$66,1,0))&gt;3,IF(TYPE(VLOOKUP($A23,'2.kolo'!$K$3:$L$66,2,0))&gt;3,0,VLOOKUP($A23,'2.kolo'!$K$3:$L$66,2,0)),VLOOKUP($A23,'2.kolo'!$L$3:$O$66,4,0))</f>
        <v>19</v>
      </c>
      <c r="AQ23" s="333">
        <f ca="1">IF(TYPE(VLOOKUP($A23,'2.kolo'!$L$3:$L$66,1,0))&gt;3,IF(TYPE(VLOOKUP($A23,'2.kolo'!$O$3:$Q$66,2,0))&gt;3,0,VLOOKUP($A23,'2.kolo'!$O$3:$Q$66,2,0)),VLOOKUP($A23,'2.kolo'!$L$3:$N$66,2,0))</f>
        <v>0</v>
      </c>
      <c r="AR23" s="333">
        <f ca="1">IF(TYPE(VLOOKUP($A23,'2.kolo'!$L$3:$L$66,1,0))&gt;3,IF(TYPE(VLOOKUP($A23,'2.kolo'!$O$3:$Q$66,3,0))&gt;3,0,VLOOKUP($A23,'2.kolo'!$O$3:$Q$66,3,0)),VLOOKUP($A23,'2.kolo'!$L$3:$N$66,3,0))</f>
        <v>-5</v>
      </c>
      <c r="AS23" s="333">
        <f t="shared" ca="1" si="20"/>
        <v>0</v>
      </c>
      <c r="AT23" s="415">
        <v>50</v>
      </c>
      <c r="AU23" s="442" t="str">
        <f ca="1">IF(AT23="","",CONCATENATE(TEXT($O23,"0"),IF(Start.listina!$Y$5="","",TEXT(500+$P23,"000")),TEXT(999999*RAND(),"000000")))</f>
        <v>2682971</v>
      </c>
      <c r="AV23" s="333">
        <f t="shared" ca="1" si="3"/>
        <v>0</v>
      </c>
      <c r="AY23" s="333">
        <f ca="1">IF(TYPE(VLOOKUP($A23,'3.kolo'!$L$3:$L$66,1,0))&gt;3,IF(TYPE(VLOOKUP($A23,'3.kolo'!$K$3:$L$66,2,0))&gt;3,0,VLOOKUP($A23,'3.kolo'!$K$3:$L$66,2,0)),VLOOKUP($A23,'3.kolo'!$L$3:$O$66,4,0))</f>
        <v>51</v>
      </c>
      <c r="AZ23" s="333">
        <f ca="1">IF(TYPE(VLOOKUP($A23,'3.kolo'!$L$3:$L$66,1,0))&gt;3,IF(TYPE(VLOOKUP($A23,'3.kolo'!$O$3:$Q$66,2,0))&gt;3,0,VLOOKUP($A23,'3.kolo'!$O$3:$Q$66,2,0)),VLOOKUP($A23,'3.kolo'!$L$3:$N$66,2,0))</f>
        <v>1</v>
      </c>
      <c r="BA23" s="333">
        <f ca="1">IF(TYPE(VLOOKUP($A23,'3.kolo'!$L$3:$L$66,1,0))&gt;3,IF(TYPE(VLOOKUP($A23,'3.kolo'!$O$3:$Q$66,3,0))&gt;3,0,VLOOKUP($A23,'3.kolo'!$O$3:$Q$66,3,0)),VLOOKUP($A23,'3.kolo'!$L$3:$N$66,3,0))</f>
        <v>11</v>
      </c>
      <c r="BB23" s="333">
        <f t="shared" ca="1" si="21"/>
        <v>0</v>
      </c>
      <c r="BC23" s="415">
        <v>5</v>
      </c>
      <c r="BD23" s="442" t="str">
        <f ca="1">IF(BC23="","",CONCATENATE(TEXT($O23,"0"),IF(Start.listina!$Y$5="","",TEXT(500+$P23,"000")),TEXT(999999*RAND(),"000000")))</f>
        <v>2735487</v>
      </c>
      <c r="BE23" s="333">
        <f t="shared" ca="1" si="4"/>
        <v>0</v>
      </c>
      <c r="BH23" s="333">
        <f ca="1">IF(TYPE(VLOOKUP($A23,'4.kolo'!$L$3:$L$66,1,0))&gt;3,IF(TYPE(VLOOKUP($A23,'4.kolo'!$K$3:$L$66,2,0))&gt;3,0,VLOOKUP($A23,'4.kolo'!$K$3:$L$66,2,0)),VLOOKUP($A23,'4.kolo'!$L$3:$O$66,4,0))</f>
        <v>9</v>
      </c>
      <c r="BI23" s="333">
        <f ca="1">IF(TYPE(VLOOKUP($A23,'4.kolo'!$L$3:$L$66,1,0))&gt;3,IF(TYPE(VLOOKUP($A23,'4.kolo'!$O$3:$Q$66,2,0))&gt;3,0,VLOOKUP($A23,'4.kolo'!$O$3:$Q$66,2,0)),VLOOKUP($A23,'4.kolo'!$L$3:$N$66,2,0))</f>
        <v>0</v>
      </c>
      <c r="BJ23" s="333">
        <f ca="1">IF(TYPE(VLOOKUP($A23,'4.kolo'!$L$3:$L$66,1,0))&gt;3,IF(TYPE(VLOOKUP($A23,'4.kolo'!$O$3:$Q$66,3,0))&gt;3,0,VLOOKUP($A23,'4.kolo'!$O$3:$Q$66,3,0)),VLOOKUP($A23,'4.kolo'!$L$3:$N$66,3,0))</f>
        <v>-7</v>
      </c>
      <c r="BK23" s="333">
        <f t="shared" ca="1" si="22"/>
        <v>0</v>
      </c>
      <c r="BL23" s="415">
        <v>7</v>
      </c>
      <c r="BM23" s="442" t="str">
        <f ca="1">IF(BL23="","",CONCATENATE(TEXT($O23,"0"),IF(Start.listina!$Y$5="","",TEXT(500+$P23,"000")),TEXT(999999*RAND(),"000000")))</f>
        <v>2999719</v>
      </c>
      <c r="BN23" s="333">
        <f t="shared" ca="1" si="5"/>
        <v>0</v>
      </c>
      <c r="BQ23" s="333">
        <f ca="1">IF(TYPE(VLOOKUP($A23,'5.kolo'!$L$3:$L$66,1,0))&gt;3,IF(TYPE(VLOOKUP($A23,'5.kolo'!$K$3:$L$66,2,0))&gt;3,0,VLOOKUP($A23,'5.kolo'!$K$3:$L$66,2,0)),VLOOKUP($A23,'5.kolo'!$L$3:$O$66,4,0))</f>
        <v>0</v>
      </c>
      <c r="BR23" s="333">
        <f ca="1">IF(TYPE(VLOOKUP($A23,'5.kolo'!$L$3:$L$66,1,0))&gt;3,IF(TYPE(VLOOKUP($A23,'5.kolo'!$O$3:$Q$66,2,0))&gt;3,0,VLOOKUP($A23,'5.kolo'!$O$3:$Q$66,2,0)),VLOOKUP($A23,'5.kolo'!$L$3:$N$66,2,0))</f>
        <v>0</v>
      </c>
      <c r="BS23" s="333">
        <f ca="1">IF(TYPE(VLOOKUP($A23,'5.kolo'!$L$3:$L$66,1,0))&gt;3,IF(TYPE(VLOOKUP($A23,'5.kolo'!$O$3:$Q$66,3,0))&gt;3,0,VLOOKUP($A23,'5.kolo'!$O$3:$Q$66,3,0)),VLOOKUP($A23,'5.kolo'!$L$3:$N$66,3,0))</f>
        <v>0</v>
      </c>
      <c r="BT23" s="333">
        <f t="shared" ca="1" si="23"/>
        <v>0</v>
      </c>
      <c r="BU23" s="415"/>
      <c r="BV23" s="442" t="str">
        <f ca="1">IF(BU23="","",CONCATENATE(TEXT($O23,"0"),IF(Start.listina!$Y$5="","",TEXT(500+$P23,"000")),TEXT(999999*RAND(),"000000")))</f>
        <v/>
      </c>
      <c r="BW23" s="333">
        <f t="shared" ca="1" si="6"/>
        <v>0</v>
      </c>
      <c r="BZ23" s="333">
        <f ca="1">IF(TYPE(VLOOKUP($A23,'6.kolo'!$L$3:$L$66,1,0))&gt;3,IF(TYPE(VLOOKUP($A23,'6.kolo'!$K$3:$L$66,2,0))&gt;3,0,VLOOKUP($A23,'6.kolo'!$K$3:$L$66,2,0)),VLOOKUP($A23,'6.kolo'!$L$3:$O$66,4,0))</f>
        <v>0</v>
      </c>
      <c r="CA23" s="333">
        <f ca="1">IF(TYPE(VLOOKUP($A23,'6.kolo'!$L$3:$L$66,1,0))&gt;3,IF(TYPE(VLOOKUP($A23,'6.kolo'!$O$3:$Q$66,2,0))&gt;3,0,VLOOKUP($A23,'6.kolo'!$O$3:$Q$66,2,0)),VLOOKUP($A23,'6.kolo'!$L$3:$N$66,2,0))</f>
        <v>0</v>
      </c>
      <c r="CB23" s="333">
        <f ca="1">IF(TYPE(VLOOKUP($A23,'6.kolo'!$L$3:$L$66,1,0))&gt;3,IF(TYPE(VLOOKUP($A23,'6.kolo'!$O$3:$Q$66,3,0))&gt;3,0,VLOOKUP($A23,'6.kolo'!$O$3:$Q$66,3,0)),VLOOKUP($A23,'6.kolo'!$L$3:$N$66,3,0))</f>
        <v>0</v>
      </c>
      <c r="CC23" s="333">
        <f t="shared" ca="1" si="24"/>
        <v>0</v>
      </c>
      <c r="CD23" s="415"/>
      <c r="CE23" s="442" t="str">
        <f ca="1">IF(CD23="","",CONCATENATE(TEXT($O23,"0"),IF(Start.listina!$Y$5="","",TEXT(500+$P23,"000")),TEXT(999999*RAND(),"000000")))</f>
        <v/>
      </c>
      <c r="CF23" s="333">
        <f t="shared" ca="1" si="7"/>
        <v>0</v>
      </c>
    </row>
    <row r="24" spans="1:84" x14ac:dyDescent="0.25">
      <c r="A24" s="333">
        <f>IF(OR(Start.listina!H32&gt;Start.listina!$K$7,Start.listina!G32=TRUE),"",Start.listina!H32)</f>
        <v>22</v>
      </c>
      <c r="B24" s="333">
        <f>IF($A24&gt;Start.listina!$K$7,"",INT(($A24-1)/Start.listina!$O$7)+1)</f>
        <v>1</v>
      </c>
      <c r="C24" s="439" t="str">
        <f>IF(OR(Start.listina!H32&gt;Start.listina!$K$7,Start.listina!G32=TRUE)," - ",Start.listina!AL32)</f>
        <v>22 UBU Únětice - Palas Pavel</v>
      </c>
      <c r="D24" s="333">
        <f>IF(OR(A24&gt;Start.listina!$K$7,TYPE(VLOOKUP(A24,$V$3:$X$130,3,0))&gt;3),"",VLOOKUP(A24,$V$3:$X$130,3,0))</f>
        <v>6</v>
      </c>
      <c r="E24" s="440">
        <f ca="1">IF(A24&gt;Start.listina!$K$7,"",IF(MIN(F24:K24)&gt;Start.listina!$Y$4,D24,MIN(F24:K24)))</f>
        <v>3</v>
      </c>
      <c r="F24" s="333">
        <f ca="1">IF(TYPE(VLOOKUP(C24,Konečné_pořadí_1_16!$B$2:$D$17,3,0))&lt;4,VLOOKUP(C24,Konečné_pořadí_1_16!$B$2:$D$17,3,0),999)</f>
        <v>3</v>
      </c>
      <c r="G24" s="333">
        <f ca="1">IF(TYPE(VLOOKUP(C24,'KO64'!$D$4:$D$129,1,0))&lt;4,64,999)</f>
        <v>64</v>
      </c>
      <c r="H24" s="333">
        <f ca="1">IF(TYPE(VLOOKUP(C24,'KO32'!$D$4:$D$65,1,0))&lt;4,32,999)</f>
        <v>32</v>
      </c>
      <c r="I24" s="333">
        <f ca="1">IF(TYPE(VLOOKUP(C24,'KO16'!$D$4:$D$33,1,0))&lt;4,16,999)</f>
        <v>16</v>
      </c>
      <c r="J24" s="333">
        <f ca="1">IF(TYPE(VLOOKUP(C24,'KO8'!$D$4:$D$17,1,0))&lt;4,8,999)</f>
        <v>8</v>
      </c>
      <c r="K24" s="333">
        <f ca="1">IF(TYPE(VLOOKUP(C24,'KO4'!$D$4:$D$9,1,0))&lt;4,4,999)</f>
        <v>4</v>
      </c>
      <c r="M24" s="334">
        <v>22</v>
      </c>
      <c r="O24" s="333">
        <f t="shared" ca="1" si="8"/>
        <v>3</v>
      </c>
      <c r="P24" s="333">
        <f t="shared" ca="1" si="9"/>
        <v>10</v>
      </c>
      <c r="Q24" s="333">
        <f t="shared" ca="1" si="0"/>
        <v>10</v>
      </c>
      <c r="R24" s="333">
        <f t="shared" ca="1" si="1"/>
        <v>6</v>
      </c>
      <c r="S24" s="333">
        <f t="shared" ca="1" si="10"/>
        <v>34</v>
      </c>
      <c r="T24" s="333">
        <f t="shared" ca="1" si="11"/>
        <v>0</v>
      </c>
      <c r="U24" s="415">
        <f t="shared" si="25"/>
        <v>22</v>
      </c>
      <c r="V24" s="415">
        <v>21</v>
      </c>
      <c r="W24" s="441" t="str">
        <f ca="1">IF($V24="","",CONCATENATE(TEXT($O24,"0"),IF(Start.listina!$Y$5="","",TEXT(500+$P24,"0000")),IF(Start.listina!$Y$6="","",CHOOSE(Start.listina!$Y$7,TEXT($Q24,"00"),CONCATENATE(TEXT($Q24,"00"),TEXT($S24,"000")), TEXT($R24,"00"))),TEXT(500+$P24,"0000"),IF(Start.listina!$Y$8="","",TEXT($T24,"0")),TEXT(999999*RAND(),"000000")))</f>
        <v>3100340510717994</v>
      </c>
      <c r="X24" s="417">
        <f t="shared" si="12"/>
        <v>22</v>
      </c>
      <c r="Y24" s="415">
        <f t="shared" ca="1" si="2"/>
        <v>2</v>
      </c>
      <c r="Z24" s="333">
        <f t="shared" ca="1" si="13"/>
        <v>47</v>
      </c>
      <c r="AA24" s="333">
        <f t="shared" ca="1" si="14"/>
        <v>1</v>
      </c>
      <c r="AB24" s="333">
        <f t="shared" ca="1" si="15"/>
        <v>11</v>
      </c>
      <c r="AC24" s="333">
        <f t="shared" ca="1" si="16"/>
        <v>24</v>
      </c>
      <c r="AD24" s="333">
        <f t="shared" ca="1" si="17"/>
        <v>0</v>
      </c>
      <c r="AE24" s="333">
        <f t="shared" ca="1" si="18"/>
        <v>0</v>
      </c>
      <c r="AG24" s="333">
        <f ca="1">IF(TYPE(VLOOKUP($A24,'1.kolo'!$L$3:$L$66,1,0))&gt;3,VLOOKUP($A24,'1.kolo'!$K$3:$L$66,2,0),VLOOKUP($A24,'1.kolo'!$L$3:$O$66,4,0))</f>
        <v>47</v>
      </c>
      <c r="AH24" s="333">
        <f ca="1">IF(TYPE(VLOOKUP($A24,'1.kolo'!$L$3:$L$66,1,0))&gt;3,VLOOKUP($A24,'1.kolo'!$O$3:$Q$66,2,0),VLOOKUP($A24,'1.kolo'!$L$3:$N$66,2,0))</f>
        <v>1</v>
      </c>
      <c r="AI24" s="333">
        <f ca="1">IF(TYPE(VLOOKUP($A24,'1.kolo'!$L$3:$L$66,1,0))&gt;3,VLOOKUP($A24,'1.kolo'!$O$3:$Q$66,3,0),VLOOKUP($A24,'1.kolo'!$L$3:$N$66,3,0))</f>
        <v>3</v>
      </c>
      <c r="AJ24" s="333">
        <f t="shared" ca="1" si="19"/>
        <v>0</v>
      </c>
      <c r="AK24" s="333">
        <v>22</v>
      </c>
      <c r="AL24" s="442"/>
      <c r="AP24" s="333">
        <f ca="1">IF(TYPE(VLOOKUP($A24,'2.kolo'!$L$3:$L$66,1,0))&gt;3,IF(TYPE(VLOOKUP($A24,'2.kolo'!$K$3:$L$66,2,0))&gt;3,0,VLOOKUP($A24,'2.kolo'!$K$3:$L$66,2,0)),VLOOKUP($A24,'2.kolo'!$L$3:$O$66,4,0))</f>
        <v>1</v>
      </c>
      <c r="AQ24" s="333">
        <f ca="1">IF(TYPE(VLOOKUP($A24,'2.kolo'!$L$3:$L$66,1,0))&gt;3,IF(TYPE(VLOOKUP($A24,'2.kolo'!$O$3:$Q$66,2,0))&gt;3,0,VLOOKUP($A24,'2.kolo'!$O$3:$Q$66,2,0)),VLOOKUP($A24,'2.kolo'!$L$3:$N$66,2,0))</f>
        <v>1</v>
      </c>
      <c r="AR24" s="333">
        <f ca="1">IF(TYPE(VLOOKUP($A24,'2.kolo'!$L$3:$L$66,1,0))&gt;3,IF(TYPE(VLOOKUP($A24,'2.kolo'!$O$3:$Q$66,3,0))&gt;3,0,VLOOKUP($A24,'2.kolo'!$O$3:$Q$66,3,0)),VLOOKUP($A24,'2.kolo'!$L$3:$N$66,3,0))</f>
        <v>10</v>
      </c>
      <c r="AS24" s="333">
        <f t="shared" ca="1" si="20"/>
        <v>0</v>
      </c>
      <c r="AT24" s="415">
        <v>6</v>
      </c>
      <c r="AU24" s="442" t="str">
        <f ca="1">IF(AT24="","",CONCATENATE(TEXT($O24,"0"),IF(Start.listina!$Y$5="","",TEXT(500+$P24,"000")),TEXT(999999*RAND(),"000000")))</f>
        <v>3854144</v>
      </c>
      <c r="AV24" s="333">
        <f t="shared" ca="1" si="3"/>
        <v>0</v>
      </c>
      <c r="AY24" s="333">
        <f ca="1">IF(TYPE(VLOOKUP($A24,'3.kolo'!$L$3:$L$66,1,0))&gt;3,IF(TYPE(VLOOKUP($A24,'3.kolo'!$K$3:$L$66,2,0))&gt;3,0,VLOOKUP($A24,'3.kolo'!$K$3:$L$66,2,0)),VLOOKUP($A24,'3.kolo'!$L$3:$O$66,4,0))</f>
        <v>11</v>
      </c>
      <c r="AZ24" s="333">
        <f ca="1">IF(TYPE(VLOOKUP($A24,'3.kolo'!$L$3:$L$66,1,0))&gt;3,IF(TYPE(VLOOKUP($A24,'3.kolo'!$O$3:$Q$66,2,0))&gt;3,0,VLOOKUP($A24,'3.kolo'!$O$3:$Q$66,2,0)),VLOOKUP($A24,'3.kolo'!$L$3:$N$66,2,0))</f>
        <v>0</v>
      </c>
      <c r="BA24" s="333">
        <f ca="1">IF(TYPE(VLOOKUP($A24,'3.kolo'!$L$3:$L$66,1,0))&gt;3,IF(TYPE(VLOOKUP($A24,'3.kolo'!$O$3:$Q$66,3,0))&gt;3,0,VLOOKUP($A24,'3.kolo'!$O$3:$Q$66,3,0)),VLOOKUP($A24,'3.kolo'!$L$3:$N$66,3,0))</f>
        <v>-9</v>
      </c>
      <c r="BB24" s="333">
        <f t="shared" ca="1" si="21"/>
        <v>0</v>
      </c>
      <c r="BC24" s="415">
        <v>7</v>
      </c>
      <c r="BD24" s="442" t="str">
        <f ca="1">IF(BC24="","",CONCATENATE(TEXT($O24,"0"),IF(Start.listina!$Y$5="","",TEXT(500+$P24,"000")),TEXT(999999*RAND(),"000000")))</f>
        <v>3906572</v>
      </c>
      <c r="BE24" s="333">
        <f t="shared" ca="1" si="4"/>
        <v>0</v>
      </c>
      <c r="BH24" s="333">
        <f ca="1">IF(TYPE(VLOOKUP($A24,'4.kolo'!$L$3:$L$66,1,0))&gt;3,IF(TYPE(VLOOKUP($A24,'4.kolo'!$K$3:$L$66,2,0))&gt;3,0,VLOOKUP($A24,'4.kolo'!$K$3:$L$66,2,0)),VLOOKUP($A24,'4.kolo'!$L$3:$O$66,4,0))</f>
        <v>24</v>
      </c>
      <c r="BI24" s="333">
        <f ca="1">IF(TYPE(VLOOKUP($A24,'4.kolo'!$L$3:$L$66,1,0))&gt;3,IF(TYPE(VLOOKUP($A24,'4.kolo'!$O$3:$Q$66,2,0))&gt;3,0,VLOOKUP($A24,'4.kolo'!$O$3:$Q$66,2,0)),VLOOKUP($A24,'4.kolo'!$L$3:$N$66,2,0))</f>
        <v>1</v>
      </c>
      <c r="BJ24" s="333">
        <f ca="1">IF(TYPE(VLOOKUP($A24,'4.kolo'!$L$3:$L$66,1,0))&gt;3,IF(TYPE(VLOOKUP($A24,'4.kolo'!$O$3:$Q$66,3,0))&gt;3,0,VLOOKUP($A24,'4.kolo'!$O$3:$Q$66,3,0)),VLOOKUP($A24,'4.kolo'!$L$3:$N$66,3,0))</f>
        <v>6</v>
      </c>
      <c r="BK24" s="333">
        <f t="shared" ca="1" si="22"/>
        <v>0</v>
      </c>
      <c r="BL24" s="415">
        <v>25</v>
      </c>
      <c r="BM24" s="442" t="str">
        <f ca="1">IF(BL24="","",CONCATENATE(TEXT($O24,"0"),IF(Start.listina!$Y$5="","",TEXT(500+$P24,"000")),TEXT(999999*RAND(),"000000")))</f>
        <v>3669902</v>
      </c>
      <c r="BN24" s="333">
        <f t="shared" ca="1" si="5"/>
        <v>0</v>
      </c>
      <c r="BQ24" s="333">
        <f ca="1">IF(TYPE(VLOOKUP($A24,'5.kolo'!$L$3:$L$66,1,0))&gt;3,IF(TYPE(VLOOKUP($A24,'5.kolo'!$K$3:$L$66,2,0))&gt;3,0,VLOOKUP($A24,'5.kolo'!$K$3:$L$66,2,0)),VLOOKUP($A24,'5.kolo'!$L$3:$O$66,4,0))</f>
        <v>0</v>
      </c>
      <c r="BR24" s="333">
        <f ca="1">IF(TYPE(VLOOKUP($A24,'5.kolo'!$L$3:$L$66,1,0))&gt;3,IF(TYPE(VLOOKUP($A24,'5.kolo'!$O$3:$Q$66,2,0))&gt;3,0,VLOOKUP($A24,'5.kolo'!$O$3:$Q$66,2,0)),VLOOKUP($A24,'5.kolo'!$L$3:$N$66,2,0))</f>
        <v>0</v>
      </c>
      <c r="BS24" s="333">
        <f ca="1">IF(TYPE(VLOOKUP($A24,'5.kolo'!$L$3:$L$66,1,0))&gt;3,IF(TYPE(VLOOKUP($A24,'5.kolo'!$O$3:$Q$66,3,0))&gt;3,0,VLOOKUP($A24,'5.kolo'!$O$3:$Q$66,3,0)),VLOOKUP($A24,'5.kolo'!$L$3:$N$66,3,0))</f>
        <v>0</v>
      </c>
      <c r="BT24" s="333">
        <f t="shared" ca="1" si="23"/>
        <v>0</v>
      </c>
      <c r="BU24" s="415"/>
      <c r="BV24" s="442" t="str">
        <f ca="1">IF(BU24="","",CONCATENATE(TEXT($O24,"0"),IF(Start.listina!$Y$5="","",TEXT(500+$P24,"000")),TEXT(999999*RAND(),"000000")))</f>
        <v/>
      </c>
      <c r="BW24" s="333">
        <f t="shared" ca="1" si="6"/>
        <v>0</v>
      </c>
      <c r="BZ24" s="333">
        <f ca="1">IF(TYPE(VLOOKUP($A24,'6.kolo'!$L$3:$L$66,1,0))&gt;3,IF(TYPE(VLOOKUP($A24,'6.kolo'!$K$3:$L$66,2,0))&gt;3,0,VLOOKUP($A24,'6.kolo'!$K$3:$L$66,2,0)),VLOOKUP($A24,'6.kolo'!$L$3:$O$66,4,0))</f>
        <v>0</v>
      </c>
      <c r="CA24" s="333">
        <f ca="1">IF(TYPE(VLOOKUP($A24,'6.kolo'!$L$3:$L$66,1,0))&gt;3,IF(TYPE(VLOOKUP($A24,'6.kolo'!$O$3:$Q$66,2,0))&gt;3,0,VLOOKUP($A24,'6.kolo'!$O$3:$Q$66,2,0)),VLOOKUP($A24,'6.kolo'!$L$3:$N$66,2,0))</f>
        <v>0</v>
      </c>
      <c r="CB24" s="333">
        <f ca="1">IF(TYPE(VLOOKUP($A24,'6.kolo'!$L$3:$L$66,1,0))&gt;3,IF(TYPE(VLOOKUP($A24,'6.kolo'!$O$3:$Q$66,3,0))&gt;3,0,VLOOKUP($A24,'6.kolo'!$O$3:$Q$66,3,0)),VLOOKUP($A24,'6.kolo'!$L$3:$N$66,3,0))</f>
        <v>0</v>
      </c>
      <c r="CC24" s="333">
        <f t="shared" ca="1" si="24"/>
        <v>0</v>
      </c>
      <c r="CD24" s="415"/>
      <c r="CE24" s="442" t="str">
        <f ca="1">IF(CD24="","",CONCATENATE(TEXT($O24,"0"),IF(Start.listina!$Y$5="","",TEXT(500+$P24,"000")),TEXT(999999*RAND(),"000000")))</f>
        <v/>
      </c>
      <c r="CF24" s="333">
        <f t="shared" ca="1" si="7"/>
        <v>0</v>
      </c>
    </row>
    <row r="25" spans="1:84" x14ac:dyDescent="0.25">
      <c r="A25" s="333">
        <f>IF(OR(Start.listina!H33&gt;Start.listina!$K$7,Start.listina!G33=TRUE),"",Start.listina!H33)</f>
        <v>23</v>
      </c>
      <c r="B25" s="333">
        <f>IF($A25&gt;Start.listina!$K$7,"",INT(($A25-1)/Start.listina!$O$7)+1)</f>
        <v>1</v>
      </c>
      <c r="C25" s="439" t="str">
        <f>IF(OR(Start.listina!H33&gt;Start.listina!$K$7,Start.listina!G33=TRUE)," - ",Start.listina!AL33)</f>
        <v>23 CdP Loděnice - Vedralová Kateřina</v>
      </c>
      <c r="D25" s="333">
        <f>IF(OR(A25&gt;Start.listina!$K$7,TYPE(VLOOKUP(A25,$V$3:$X$130,3,0))&gt;3),"",VLOOKUP(A25,$V$3:$X$130,3,0))</f>
        <v>23</v>
      </c>
      <c r="E25" s="440">
        <f ca="1">IF(A25&gt;Start.listina!$K$7,"",IF(MIN(F25:K25)&gt;Start.listina!$Y$4,D25,MIN(F25:K25)))</f>
        <v>23</v>
      </c>
      <c r="F25" s="333">
        <f ca="1">IF(TYPE(VLOOKUP(C25,Konečné_pořadí_1_16!$B$2:$D$17,3,0))&lt;4,VLOOKUP(C25,Konečné_pořadí_1_16!$B$2:$D$17,3,0),999)</f>
        <v>999</v>
      </c>
      <c r="G25" s="333">
        <f ca="1">IF(TYPE(VLOOKUP(C25,'KO64'!$D$4:$D$129,1,0))&lt;4,64,999)</f>
        <v>999</v>
      </c>
      <c r="H25" s="333">
        <f ca="1">IF(TYPE(VLOOKUP(C25,'KO32'!$D$4:$D$65,1,0))&lt;4,32,999)</f>
        <v>999</v>
      </c>
      <c r="I25" s="333">
        <f ca="1">IF(TYPE(VLOOKUP(C25,'KO16'!$D$4:$D$33,1,0))&lt;4,16,999)</f>
        <v>999</v>
      </c>
      <c r="J25" s="333">
        <f ca="1">IF(TYPE(VLOOKUP(C25,'KO8'!$D$4:$D$17,1,0))&lt;4,8,999)</f>
        <v>999</v>
      </c>
      <c r="K25" s="333">
        <f ca="1">IF(TYPE(VLOOKUP(C25,'KO4'!$D$4:$D$9,1,0))&lt;4,4,999)</f>
        <v>999</v>
      </c>
      <c r="M25" s="334">
        <v>23</v>
      </c>
      <c r="O25" s="333">
        <f t="shared" ca="1" si="8"/>
        <v>2</v>
      </c>
      <c r="P25" s="333">
        <f t="shared" ca="1" si="9"/>
        <v>0</v>
      </c>
      <c r="Q25" s="333">
        <f t="shared" ca="1" si="0"/>
        <v>9</v>
      </c>
      <c r="R25" s="333">
        <f t="shared" ca="1" si="1"/>
        <v>2</v>
      </c>
      <c r="S25" s="333">
        <f t="shared" ca="1" si="10"/>
        <v>33</v>
      </c>
      <c r="T25" s="333">
        <f t="shared" ca="1" si="11"/>
        <v>0</v>
      </c>
      <c r="U25" s="415">
        <f t="shared" si="25"/>
        <v>23</v>
      </c>
      <c r="V25" s="415">
        <v>23</v>
      </c>
      <c r="W25" s="441" t="str">
        <f ca="1">IF($V25="","",CONCATENATE(TEXT($O25,"0"),IF(Start.listina!$Y$5="","",TEXT(500+$P25,"0000")),IF(Start.listina!$Y$6="","",CHOOSE(Start.listina!$Y$7,TEXT($Q25,"00"),CONCATENATE(TEXT($Q25,"00"),TEXT($S25,"000")), TEXT($R25,"00"))),TEXT(500+$P25,"0000"),IF(Start.listina!$Y$8="","",TEXT($T25,"0")),TEXT(999999*RAND(),"000000")))</f>
        <v>2090330500101492</v>
      </c>
      <c r="X25" s="417">
        <f t="shared" si="12"/>
        <v>23</v>
      </c>
      <c r="Y25" s="415">
        <f t="shared" ca="1" si="2"/>
        <v>2</v>
      </c>
      <c r="Z25" s="333">
        <f t="shared" ca="1" si="13"/>
        <v>48</v>
      </c>
      <c r="AA25" s="333">
        <f t="shared" ca="1" si="14"/>
        <v>2</v>
      </c>
      <c r="AB25" s="333">
        <f t="shared" ca="1" si="15"/>
        <v>1</v>
      </c>
      <c r="AC25" s="333">
        <f t="shared" ca="1" si="16"/>
        <v>32</v>
      </c>
      <c r="AD25" s="333">
        <f t="shared" ca="1" si="17"/>
        <v>0</v>
      </c>
      <c r="AE25" s="333">
        <f t="shared" ca="1" si="18"/>
        <v>0</v>
      </c>
      <c r="AG25" s="333">
        <f ca="1">IF(TYPE(VLOOKUP($A25,'1.kolo'!$L$3:$L$66,1,0))&gt;3,VLOOKUP($A25,'1.kolo'!$K$3:$L$66,2,0),VLOOKUP($A25,'1.kolo'!$L$3:$O$66,4,0))</f>
        <v>48</v>
      </c>
      <c r="AH25" s="333">
        <f ca="1">IF(TYPE(VLOOKUP($A25,'1.kolo'!$L$3:$L$66,1,0))&gt;3,VLOOKUP($A25,'1.kolo'!$O$3:$Q$66,2,0),VLOOKUP($A25,'1.kolo'!$L$3:$N$66,2,0))</f>
        <v>1</v>
      </c>
      <c r="AI25" s="333">
        <f ca="1">IF(TYPE(VLOOKUP($A25,'1.kolo'!$L$3:$L$66,1,0))&gt;3,VLOOKUP($A25,'1.kolo'!$O$3:$Q$66,3,0),VLOOKUP($A25,'1.kolo'!$L$3:$N$66,3,0))</f>
        <v>8</v>
      </c>
      <c r="AJ25" s="333">
        <f t="shared" ca="1" si="19"/>
        <v>0</v>
      </c>
      <c r="AK25" s="333">
        <v>23</v>
      </c>
      <c r="AL25" s="442"/>
      <c r="AP25" s="333">
        <f ca="1">IF(TYPE(VLOOKUP($A25,'2.kolo'!$L$3:$L$66,1,0))&gt;3,IF(TYPE(VLOOKUP($A25,'2.kolo'!$K$3:$L$66,2,0))&gt;3,0,VLOOKUP($A25,'2.kolo'!$K$3:$L$66,2,0)),VLOOKUP($A25,'2.kolo'!$L$3:$O$66,4,0))</f>
        <v>2</v>
      </c>
      <c r="AQ25" s="333">
        <f ca="1">IF(TYPE(VLOOKUP($A25,'2.kolo'!$L$3:$L$66,1,0))&gt;3,IF(TYPE(VLOOKUP($A25,'2.kolo'!$O$3:$Q$66,2,0))&gt;3,0,VLOOKUP($A25,'2.kolo'!$O$3:$Q$66,2,0)),VLOOKUP($A25,'2.kolo'!$L$3:$N$66,2,0))</f>
        <v>0</v>
      </c>
      <c r="AR25" s="333">
        <f ca="1">IF(TYPE(VLOOKUP($A25,'2.kolo'!$L$3:$L$66,1,0))&gt;3,IF(TYPE(VLOOKUP($A25,'2.kolo'!$O$3:$Q$66,3,0))&gt;3,0,VLOOKUP($A25,'2.kolo'!$O$3:$Q$66,3,0)),VLOOKUP($A25,'2.kolo'!$L$3:$N$66,3,0))</f>
        <v>-9</v>
      </c>
      <c r="AS25" s="333">
        <f t="shared" ca="1" si="20"/>
        <v>0</v>
      </c>
      <c r="AT25" s="415">
        <v>21</v>
      </c>
      <c r="AU25" s="442" t="str">
        <f ca="1">IF(AT25="","",CONCATENATE(TEXT($O25,"0"),IF(Start.listina!$Y$5="","",TEXT(500+$P25,"000")),TEXT(999999*RAND(),"000000")))</f>
        <v>2267662</v>
      </c>
      <c r="AV25" s="333">
        <f t="shared" ca="1" si="3"/>
        <v>0</v>
      </c>
      <c r="AY25" s="333">
        <f ca="1">IF(TYPE(VLOOKUP($A25,'3.kolo'!$L$3:$L$66,1,0))&gt;3,IF(TYPE(VLOOKUP($A25,'3.kolo'!$K$3:$L$66,2,0))&gt;3,0,VLOOKUP($A25,'3.kolo'!$K$3:$L$66,2,0)),VLOOKUP($A25,'3.kolo'!$L$3:$O$66,4,0))</f>
        <v>1</v>
      </c>
      <c r="AZ25" s="333">
        <f ca="1">IF(TYPE(VLOOKUP($A25,'3.kolo'!$L$3:$L$66,1,0))&gt;3,IF(TYPE(VLOOKUP($A25,'3.kolo'!$O$3:$Q$66,2,0))&gt;3,0,VLOOKUP($A25,'3.kolo'!$O$3:$Q$66,2,0)),VLOOKUP($A25,'3.kolo'!$L$3:$N$66,2,0))</f>
        <v>0</v>
      </c>
      <c r="BA25" s="333">
        <f ca="1">IF(TYPE(VLOOKUP($A25,'3.kolo'!$L$3:$L$66,1,0))&gt;3,IF(TYPE(VLOOKUP($A25,'3.kolo'!$O$3:$Q$66,3,0))&gt;3,0,VLOOKUP($A25,'3.kolo'!$O$3:$Q$66,3,0)),VLOOKUP($A25,'3.kolo'!$L$3:$N$66,3,0))</f>
        <v>-8</v>
      </c>
      <c r="BB25" s="333">
        <f t="shared" ca="1" si="21"/>
        <v>0</v>
      </c>
      <c r="BC25" s="415">
        <v>51</v>
      </c>
      <c r="BD25" s="442" t="str">
        <f ca="1">IF(BC25="","",CONCATENATE(TEXT($O25,"0"),IF(Start.listina!$Y$5="","",TEXT(500+$P25,"000")),TEXT(999999*RAND(),"000000")))</f>
        <v>2918909</v>
      </c>
      <c r="BE25" s="333">
        <f t="shared" ca="1" si="4"/>
        <v>0</v>
      </c>
      <c r="BH25" s="333">
        <f ca="1">IF(TYPE(VLOOKUP($A25,'4.kolo'!$L$3:$L$66,1,0))&gt;3,IF(TYPE(VLOOKUP($A25,'4.kolo'!$K$3:$L$66,2,0))&gt;3,0,VLOOKUP($A25,'4.kolo'!$K$3:$L$66,2,0)),VLOOKUP($A25,'4.kolo'!$L$3:$O$66,4,0))</f>
        <v>32</v>
      </c>
      <c r="BI25" s="333">
        <f ca="1">IF(TYPE(VLOOKUP($A25,'4.kolo'!$L$3:$L$66,1,0))&gt;3,IF(TYPE(VLOOKUP($A25,'4.kolo'!$O$3:$Q$66,2,0))&gt;3,0,VLOOKUP($A25,'4.kolo'!$O$3:$Q$66,2,0)),VLOOKUP($A25,'4.kolo'!$L$3:$N$66,2,0))</f>
        <v>1</v>
      </c>
      <c r="BJ25" s="333">
        <f ca="1">IF(TYPE(VLOOKUP($A25,'4.kolo'!$L$3:$L$66,1,0))&gt;3,IF(TYPE(VLOOKUP($A25,'4.kolo'!$O$3:$Q$66,3,0))&gt;3,0,VLOOKUP($A25,'4.kolo'!$O$3:$Q$66,3,0)),VLOOKUP($A25,'4.kolo'!$L$3:$N$66,3,0))</f>
        <v>9</v>
      </c>
      <c r="BK25" s="333">
        <f t="shared" ca="1" si="22"/>
        <v>0</v>
      </c>
      <c r="BL25" s="415">
        <v>10</v>
      </c>
      <c r="BM25" s="442" t="str">
        <f ca="1">IF(BL25="","",CONCATENATE(TEXT($O25,"0"),IF(Start.listina!$Y$5="","",TEXT(500+$P25,"000")),TEXT(999999*RAND(),"000000")))</f>
        <v>2450198</v>
      </c>
      <c r="BN25" s="333">
        <f t="shared" ca="1" si="5"/>
        <v>0</v>
      </c>
      <c r="BQ25" s="333">
        <f ca="1">IF(TYPE(VLOOKUP($A25,'5.kolo'!$L$3:$L$66,1,0))&gt;3,IF(TYPE(VLOOKUP($A25,'5.kolo'!$K$3:$L$66,2,0))&gt;3,0,VLOOKUP($A25,'5.kolo'!$K$3:$L$66,2,0)),VLOOKUP($A25,'5.kolo'!$L$3:$O$66,4,0))</f>
        <v>0</v>
      </c>
      <c r="BR25" s="333">
        <f ca="1">IF(TYPE(VLOOKUP($A25,'5.kolo'!$L$3:$L$66,1,0))&gt;3,IF(TYPE(VLOOKUP($A25,'5.kolo'!$O$3:$Q$66,2,0))&gt;3,0,VLOOKUP($A25,'5.kolo'!$O$3:$Q$66,2,0)),VLOOKUP($A25,'5.kolo'!$L$3:$N$66,2,0))</f>
        <v>0</v>
      </c>
      <c r="BS25" s="333">
        <f ca="1">IF(TYPE(VLOOKUP($A25,'5.kolo'!$L$3:$L$66,1,0))&gt;3,IF(TYPE(VLOOKUP($A25,'5.kolo'!$O$3:$Q$66,3,0))&gt;3,0,VLOOKUP($A25,'5.kolo'!$O$3:$Q$66,3,0)),VLOOKUP($A25,'5.kolo'!$L$3:$N$66,3,0))</f>
        <v>0</v>
      </c>
      <c r="BT25" s="333">
        <f t="shared" ca="1" si="23"/>
        <v>0</v>
      </c>
      <c r="BU25" s="415"/>
      <c r="BV25" s="442" t="str">
        <f ca="1">IF(BU25="","",CONCATENATE(TEXT($O25,"0"),IF(Start.listina!$Y$5="","",TEXT(500+$P25,"000")),TEXT(999999*RAND(),"000000")))</f>
        <v/>
      </c>
      <c r="BW25" s="333">
        <f t="shared" ca="1" si="6"/>
        <v>0</v>
      </c>
      <c r="BZ25" s="333">
        <f ca="1">IF(TYPE(VLOOKUP($A25,'6.kolo'!$L$3:$L$66,1,0))&gt;3,IF(TYPE(VLOOKUP($A25,'6.kolo'!$K$3:$L$66,2,0))&gt;3,0,VLOOKUP($A25,'6.kolo'!$K$3:$L$66,2,0)),VLOOKUP($A25,'6.kolo'!$L$3:$O$66,4,0))</f>
        <v>0</v>
      </c>
      <c r="CA25" s="333">
        <f ca="1">IF(TYPE(VLOOKUP($A25,'6.kolo'!$L$3:$L$66,1,0))&gt;3,IF(TYPE(VLOOKUP($A25,'6.kolo'!$O$3:$Q$66,2,0))&gt;3,0,VLOOKUP($A25,'6.kolo'!$O$3:$Q$66,2,0)),VLOOKUP($A25,'6.kolo'!$L$3:$N$66,2,0))</f>
        <v>0</v>
      </c>
      <c r="CB25" s="333">
        <f ca="1">IF(TYPE(VLOOKUP($A25,'6.kolo'!$L$3:$L$66,1,0))&gt;3,IF(TYPE(VLOOKUP($A25,'6.kolo'!$O$3:$Q$66,3,0))&gt;3,0,VLOOKUP($A25,'6.kolo'!$O$3:$Q$66,3,0)),VLOOKUP($A25,'6.kolo'!$L$3:$N$66,3,0))</f>
        <v>0</v>
      </c>
      <c r="CC25" s="333">
        <f t="shared" ca="1" si="24"/>
        <v>0</v>
      </c>
      <c r="CD25" s="415"/>
      <c r="CE25" s="442" t="str">
        <f ca="1">IF(CD25="","",CONCATENATE(TEXT($O25,"0"),IF(Start.listina!$Y$5="","",TEXT(500+$P25,"000")),TEXT(999999*RAND(),"000000")))</f>
        <v/>
      </c>
      <c r="CF25" s="333">
        <f t="shared" ca="1" si="7"/>
        <v>0</v>
      </c>
    </row>
    <row r="26" spans="1:84" x14ac:dyDescent="0.25">
      <c r="A26" s="333">
        <f>IF(OR(Start.listina!H34&gt;Start.listina!$K$7,Start.listina!G34=TRUE),"",Start.listina!H34)</f>
        <v>24</v>
      </c>
      <c r="B26" s="333">
        <f>IF($A26&gt;Start.listina!$K$7,"",INT(($A26-1)/Start.listina!$O$7)+1)</f>
        <v>1</v>
      </c>
      <c r="C26" s="439" t="str">
        <f>IF(OR(Start.listina!H34&gt;Start.listina!$K$7,Start.listina!G34=TRUE)," - ",Start.listina!AL34)</f>
        <v>24 CdP Loděnice - Čermák Jiří</v>
      </c>
      <c r="D26" s="333">
        <f>IF(OR(A26&gt;Start.listina!$K$7,TYPE(VLOOKUP(A26,$V$3:$X$130,3,0))&gt;3),"",VLOOKUP(A26,$V$3:$X$130,3,0))</f>
        <v>21</v>
      </c>
      <c r="E26" s="440">
        <f ca="1">IF(A26&gt;Start.listina!$K$7,"",IF(MIN(F26:K26)&gt;Start.listina!$Y$4,D26,MIN(F26:K26)))</f>
        <v>21</v>
      </c>
      <c r="F26" s="333">
        <f ca="1">IF(TYPE(VLOOKUP(C26,Konečné_pořadí_1_16!$B$2:$D$17,3,0))&lt;4,VLOOKUP(C26,Konečné_pořadí_1_16!$B$2:$D$17,3,0),999)</f>
        <v>999</v>
      </c>
      <c r="G26" s="333">
        <f ca="1">IF(TYPE(VLOOKUP(C26,'KO64'!$D$4:$D$129,1,0))&lt;4,64,999)</f>
        <v>999</v>
      </c>
      <c r="H26" s="333">
        <f ca="1">IF(TYPE(VLOOKUP(C26,'KO32'!$D$4:$D$65,1,0))&lt;4,32,999)</f>
        <v>999</v>
      </c>
      <c r="I26" s="333">
        <f ca="1">IF(TYPE(VLOOKUP(C26,'KO16'!$D$4:$D$33,1,0))&lt;4,16,999)</f>
        <v>999</v>
      </c>
      <c r="J26" s="333">
        <f ca="1">IF(TYPE(VLOOKUP(C26,'KO8'!$D$4:$D$17,1,0))&lt;4,8,999)</f>
        <v>999</v>
      </c>
      <c r="K26" s="333">
        <f ca="1">IF(TYPE(VLOOKUP(C26,'KO4'!$D$4:$D$9,1,0))&lt;4,4,999)</f>
        <v>999</v>
      </c>
      <c r="M26" s="334">
        <v>24</v>
      </c>
      <c r="O26" s="333">
        <f t="shared" ca="1" si="8"/>
        <v>2</v>
      </c>
      <c r="P26" s="333">
        <f t="shared" ca="1" si="9"/>
        <v>-1</v>
      </c>
      <c r="Q26" s="333">
        <f t="shared" ca="1" si="0"/>
        <v>10</v>
      </c>
      <c r="R26" s="333">
        <f t="shared" ca="1" si="1"/>
        <v>4</v>
      </c>
      <c r="S26" s="333">
        <f t="shared" ca="1" si="10"/>
        <v>35</v>
      </c>
      <c r="T26" s="333">
        <f t="shared" ca="1" si="11"/>
        <v>0</v>
      </c>
      <c r="U26" s="415">
        <f t="shared" si="25"/>
        <v>24</v>
      </c>
      <c r="V26" s="415">
        <v>49</v>
      </c>
      <c r="W26" s="441" t="str">
        <f ca="1">IF($V26="","",CONCATENATE(TEXT($O26,"0"),IF(Start.listina!$Y$5="","",TEXT(500+$P26,"0000")),IF(Start.listina!$Y$6="","",CHOOSE(Start.listina!$Y$7,TEXT($Q26,"00"),CONCATENATE(TEXT($Q26,"00"),TEXT($S26,"000")), TEXT($R26,"00"))),TEXT(500+$P26,"0000"),IF(Start.listina!$Y$8="","",TEXT($T26,"0")),TEXT(999999*RAND(),"000000")))</f>
        <v>2100350499341945</v>
      </c>
      <c r="X26" s="417">
        <f t="shared" si="12"/>
        <v>24</v>
      </c>
      <c r="Y26" s="415">
        <f t="shared" ca="1" si="2"/>
        <v>2</v>
      </c>
      <c r="Z26" s="333">
        <f t="shared" ca="1" si="13"/>
        <v>49</v>
      </c>
      <c r="AA26" s="333">
        <f t="shared" ca="1" si="14"/>
        <v>5</v>
      </c>
      <c r="AB26" s="333">
        <f t="shared" ca="1" si="15"/>
        <v>43</v>
      </c>
      <c r="AC26" s="333">
        <f t="shared" ca="1" si="16"/>
        <v>22</v>
      </c>
      <c r="AD26" s="333">
        <f t="shared" ca="1" si="17"/>
        <v>0</v>
      </c>
      <c r="AE26" s="333">
        <f t="shared" ca="1" si="18"/>
        <v>0</v>
      </c>
      <c r="AG26" s="333">
        <f ca="1">IF(TYPE(VLOOKUP($A26,'1.kolo'!$L$3:$L$66,1,0))&gt;3,VLOOKUP($A26,'1.kolo'!$K$3:$L$66,2,0),VLOOKUP($A26,'1.kolo'!$L$3:$O$66,4,0))</f>
        <v>49</v>
      </c>
      <c r="AH26" s="333">
        <f ca="1">IF(TYPE(VLOOKUP($A26,'1.kolo'!$L$3:$L$66,1,0))&gt;3,VLOOKUP($A26,'1.kolo'!$O$3:$Q$66,2,0),VLOOKUP($A26,'1.kolo'!$L$3:$N$66,2,0))</f>
        <v>1</v>
      </c>
      <c r="AI26" s="333">
        <f ca="1">IF(TYPE(VLOOKUP($A26,'1.kolo'!$L$3:$L$66,1,0))&gt;3,VLOOKUP($A26,'1.kolo'!$O$3:$Q$66,3,0),VLOOKUP($A26,'1.kolo'!$L$3:$N$66,3,0))</f>
        <v>6</v>
      </c>
      <c r="AJ26" s="333">
        <f t="shared" ca="1" si="19"/>
        <v>0</v>
      </c>
      <c r="AK26" s="333">
        <v>24</v>
      </c>
      <c r="AL26" s="442"/>
      <c r="AP26" s="333">
        <f ca="1">IF(TYPE(VLOOKUP($A26,'2.kolo'!$L$3:$L$66,1,0))&gt;3,IF(TYPE(VLOOKUP($A26,'2.kolo'!$K$3:$L$66,2,0))&gt;3,0,VLOOKUP($A26,'2.kolo'!$K$3:$L$66,2,0)),VLOOKUP($A26,'2.kolo'!$L$3:$O$66,4,0))</f>
        <v>5</v>
      </c>
      <c r="AQ26" s="333">
        <f ca="1">IF(TYPE(VLOOKUP($A26,'2.kolo'!$L$3:$L$66,1,0))&gt;3,IF(TYPE(VLOOKUP($A26,'2.kolo'!$O$3:$Q$66,2,0))&gt;3,0,VLOOKUP($A26,'2.kolo'!$O$3:$Q$66,2,0)),VLOOKUP($A26,'2.kolo'!$L$3:$N$66,2,0))</f>
        <v>1</v>
      </c>
      <c r="AR26" s="333">
        <f ca="1">IF(TYPE(VLOOKUP($A26,'2.kolo'!$L$3:$L$66,1,0))&gt;3,IF(TYPE(VLOOKUP($A26,'2.kolo'!$O$3:$Q$66,3,0))&gt;3,0,VLOOKUP($A26,'2.kolo'!$O$3:$Q$66,3,0)),VLOOKUP($A26,'2.kolo'!$L$3:$N$66,3,0))</f>
        <v>12</v>
      </c>
      <c r="AS26" s="333">
        <f t="shared" ca="1" si="20"/>
        <v>0</v>
      </c>
      <c r="AT26" s="415">
        <v>19</v>
      </c>
      <c r="AU26" s="442" t="str">
        <f ca="1">IF(AT26="","",CONCATENATE(TEXT($O26,"0"),IF(Start.listina!$Y$5="","",TEXT(500+$P26,"000")),TEXT(999999*RAND(),"000000")))</f>
        <v>2787766</v>
      </c>
      <c r="AV26" s="333">
        <f t="shared" ca="1" si="3"/>
        <v>0</v>
      </c>
      <c r="AY26" s="333">
        <f ca="1">IF(TYPE(VLOOKUP($A26,'3.kolo'!$L$3:$L$66,1,0))&gt;3,IF(TYPE(VLOOKUP($A26,'3.kolo'!$K$3:$L$66,2,0))&gt;3,0,VLOOKUP($A26,'3.kolo'!$K$3:$L$66,2,0)),VLOOKUP($A26,'3.kolo'!$L$3:$O$66,4,0))</f>
        <v>43</v>
      </c>
      <c r="AZ26" s="333">
        <f ca="1">IF(TYPE(VLOOKUP($A26,'3.kolo'!$L$3:$L$66,1,0))&gt;3,IF(TYPE(VLOOKUP($A26,'3.kolo'!$O$3:$Q$66,2,0))&gt;3,0,VLOOKUP($A26,'3.kolo'!$O$3:$Q$66,2,0)),VLOOKUP($A26,'3.kolo'!$L$3:$N$66,2,0))</f>
        <v>0</v>
      </c>
      <c r="BA26" s="333">
        <f ca="1">IF(TYPE(VLOOKUP($A26,'3.kolo'!$L$3:$L$66,1,0))&gt;3,IF(TYPE(VLOOKUP($A26,'3.kolo'!$O$3:$Q$66,3,0))&gt;3,0,VLOOKUP($A26,'3.kolo'!$O$3:$Q$66,3,0)),VLOOKUP($A26,'3.kolo'!$L$3:$N$66,3,0))</f>
        <v>-13</v>
      </c>
      <c r="BB26" s="333">
        <f t="shared" ca="1" si="21"/>
        <v>0</v>
      </c>
      <c r="BC26" s="415">
        <v>21</v>
      </c>
      <c r="BD26" s="442" t="str">
        <f ca="1">IF(BC26="","",CONCATENATE(TEXT($O26,"0"),IF(Start.listina!$Y$5="","",TEXT(500+$P26,"000")),TEXT(999999*RAND(),"000000")))</f>
        <v>2992480</v>
      </c>
      <c r="BE26" s="333">
        <f t="shared" ca="1" si="4"/>
        <v>0</v>
      </c>
      <c r="BH26" s="333">
        <f ca="1">IF(TYPE(VLOOKUP($A26,'4.kolo'!$L$3:$L$66,1,0))&gt;3,IF(TYPE(VLOOKUP($A26,'4.kolo'!$K$3:$L$66,2,0))&gt;3,0,VLOOKUP($A26,'4.kolo'!$K$3:$L$66,2,0)),VLOOKUP($A26,'4.kolo'!$L$3:$O$66,4,0))</f>
        <v>22</v>
      </c>
      <c r="BI26" s="333">
        <f ca="1">IF(TYPE(VLOOKUP($A26,'4.kolo'!$L$3:$L$66,1,0))&gt;3,IF(TYPE(VLOOKUP($A26,'4.kolo'!$O$3:$Q$66,2,0))&gt;3,0,VLOOKUP($A26,'4.kolo'!$O$3:$Q$66,2,0)),VLOOKUP($A26,'4.kolo'!$L$3:$N$66,2,0))</f>
        <v>0</v>
      </c>
      <c r="BJ26" s="333">
        <f ca="1">IF(TYPE(VLOOKUP($A26,'4.kolo'!$L$3:$L$66,1,0))&gt;3,IF(TYPE(VLOOKUP($A26,'4.kolo'!$O$3:$Q$66,3,0))&gt;3,0,VLOOKUP($A26,'4.kolo'!$O$3:$Q$66,3,0)),VLOOKUP($A26,'4.kolo'!$L$3:$N$66,3,0))</f>
        <v>-6</v>
      </c>
      <c r="BK26" s="333">
        <f t="shared" ca="1" si="22"/>
        <v>0</v>
      </c>
      <c r="BL26" s="415">
        <v>49</v>
      </c>
      <c r="BM26" s="442" t="str">
        <f ca="1">IF(BL26="","",CONCATENATE(TEXT($O26,"0"),IF(Start.listina!$Y$5="","",TEXT(500+$P26,"000")),TEXT(999999*RAND(),"000000")))</f>
        <v>2223958</v>
      </c>
      <c r="BN26" s="333">
        <f t="shared" ca="1" si="5"/>
        <v>0</v>
      </c>
      <c r="BQ26" s="333">
        <f ca="1">IF(TYPE(VLOOKUP($A26,'5.kolo'!$L$3:$L$66,1,0))&gt;3,IF(TYPE(VLOOKUP($A26,'5.kolo'!$K$3:$L$66,2,0))&gt;3,0,VLOOKUP($A26,'5.kolo'!$K$3:$L$66,2,0)),VLOOKUP($A26,'5.kolo'!$L$3:$O$66,4,0))</f>
        <v>0</v>
      </c>
      <c r="BR26" s="333">
        <f ca="1">IF(TYPE(VLOOKUP($A26,'5.kolo'!$L$3:$L$66,1,0))&gt;3,IF(TYPE(VLOOKUP($A26,'5.kolo'!$O$3:$Q$66,2,0))&gt;3,0,VLOOKUP($A26,'5.kolo'!$O$3:$Q$66,2,0)),VLOOKUP($A26,'5.kolo'!$L$3:$N$66,2,0))</f>
        <v>0</v>
      </c>
      <c r="BS26" s="333">
        <f ca="1">IF(TYPE(VLOOKUP($A26,'5.kolo'!$L$3:$L$66,1,0))&gt;3,IF(TYPE(VLOOKUP($A26,'5.kolo'!$O$3:$Q$66,3,0))&gt;3,0,VLOOKUP($A26,'5.kolo'!$O$3:$Q$66,3,0)),VLOOKUP($A26,'5.kolo'!$L$3:$N$66,3,0))</f>
        <v>0</v>
      </c>
      <c r="BT26" s="333">
        <f t="shared" ca="1" si="23"/>
        <v>0</v>
      </c>
      <c r="BU26" s="415"/>
      <c r="BV26" s="442" t="str">
        <f ca="1">IF(BU26="","",CONCATENATE(TEXT($O26,"0"),IF(Start.listina!$Y$5="","",TEXT(500+$P26,"000")),TEXT(999999*RAND(),"000000")))</f>
        <v/>
      </c>
      <c r="BW26" s="333">
        <f t="shared" ca="1" si="6"/>
        <v>0</v>
      </c>
      <c r="BZ26" s="333">
        <f ca="1">IF(TYPE(VLOOKUP($A26,'6.kolo'!$L$3:$L$66,1,0))&gt;3,IF(TYPE(VLOOKUP($A26,'6.kolo'!$K$3:$L$66,2,0))&gt;3,0,VLOOKUP($A26,'6.kolo'!$K$3:$L$66,2,0)),VLOOKUP($A26,'6.kolo'!$L$3:$O$66,4,0))</f>
        <v>0</v>
      </c>
      <c r="CA26" s="333">
        <f ca="1">IF(TYPE(VLOOKUP($A26,'6.kolo'!$L$3:$L$66,1,0))&gt;3,IF(TYPE(VLOOKUP($A26,'6.kolo'!$O$3:$Q$66,2,0))&gt;3,0,VLOOKUP($A26,'6.kolo'!$O$3:$Q$66,2,0)),VLOOKUP($A26,'6.kolo'!$L$3:$N$66,2,0))</f>
        <v>0</v>
      </c>
      <c r="CB26" s="333">
        <f ca="1">IF(TYPE(VLOOKUP($A26,'6.kolo'!$L$3:$L$66,1,0))&gt;3,IF(TYPE(VLOOKUP($A26,'6.kolo'!$O$3:$Q$66,3,0))&gt;3,0,VLOOKUP($A26,'6.kolo'!$O$3:$Q$66,3,0)),VLOOKUP($A26,'6.kolo'!$L$3:$N$66,3,0))</f>
        <v>0</v>
      </c>
      <c r="CC26" s="333">
        <f t="shared" ca="1" si="24"/>
        <v>0</v>
      </c>
      <c r="CD26" s="415"/>
      <c r="CE26" s="442" t="str">
        <f ca="1">IF(CD26="","",CONCATENATE(TEXT($O26,"0"),IF(Start.listina!$Y$5="","",TEXT(500+$P26,"000")),TEXT(999999*RAND(),"000000")))</f>
        <v/>
      </c>
      <c r="CF26" s="333">
        <f t="shared" ca="1" si="7"/>
        <v>0</v>
      </c>
    </row>
    <row r="27" spans="1:84" x14ac:dyDescent="0.25">
      <c r="A27" s="333">
        <f>IF(OR(Start.listina!H35&gt;Start.listina!$K$7,Start.listina!G35=TRUE),"",Start.listina!H35)</f>
        <v>25</v>
      </c>
      <c r="B27" s="333">
        <f>IF($A27&gt;Start.listina!$K$7,"",INT(($A27-1)/Start.listina!$O$7)+1)</f>
        <v>1</v>
      </c>
      <c r="C27" s="439" t="str">
        <f>IF(OR(Start.listina!H35&gt;Start.listina!$K$7,Start.listina!G35=TRUE)," - ",Start.listina!AL35)</f>
        <v>25 PK Osika Plzeň - Špitálský Milan</v>
      </c>
      <c r="D27" s="333">
        <f>IF(OR(A27&gt;Start.listina!$K$7,TYPE(VLOOKUP(A27,$V$3:$X$130,3,0))&gt;3),"",VLOOKUP(A27,$V$3:$X$130,3,0))</f>
        <v>28</v>
      </c>
      <c r="E27" s="440">
        <f ca="1">IF(A27&gt;Start.listina!$K$7,"",IF(MIN(F27:K27)&gt;Start.listina!$Y$4,D27,MIN(F27:K27)))</f>
        <v>28</v>
      </c>
      <c r="F27" s="333">
        <f ca="1">IF(TYPE(VLOOKUP(C27,Konečné_pořadí_1_16!$B$2:$D$17,3,0))&lt;4,VLOOKUP(C27,Konečné_pořadí_1_16!$B$2:$D$17,3,0),999)</f>
        <v>999</v>
      </c>
      <c r="G27" s="333">
        <f ca="1">IF(TYPE(VLOOKUP(C27,'KO64'!$D$4:$D$129,1,0))&lt;4,64,999)</f>
        <v>999</v>
      </c>
      <c r="H27" s="333">
        <f ca="1">IF(TYPE(VLOOKUP(C27,'KO32'!$D$4:$D$65,1,0))&lt;4,32,999)</f>
        <v>999</v>
      </c>
      <c r="I27" s="333">
        <f ca="1">IF(TYPE(VLOOKUP(C27,'KO16'!$D$4:$D$33,1,0))&lt;4,16,999)</f>
        <v>999</v>
      </c>
      <c r="J27" s="333">
        <f ca="1">IF(TYPE(VLOOKUP(C27,'KO8'!$D$4:$D$17,1,0))&lt;4,8,999)</f>
        <v>999</v>
      </c>
      <c r="K27" s="333">
        <f ca="1">IF(TYPE(VLOOKUP(C27,'KO4'!$D$4:$D$9,1,0))&lt;4,4,999)</f>
        <v>999</v>
      </c>
      <c r="M27" s="334">
        <v>25</v>
      </c>
      <c r="O27" s="333">
        <f t="shared" ca="1" si="8"/>
        <v>2</v>
      </c>
      <c r="P27" s="333">
        <f t="shared" ca="1" si="9"/>
        <v>11</v>
      </c>
      <c r="Q27" s="333">
        <f t="shared" ca="1" si="0"/>
        <v>7</v>
      </c>
      <c r="R27" s="333">
        <f t="shared" ca="1" si="1"/>
        <v>2</v>
      </c>
      <c r="S27" s="333">
        <f t="shared" ca="1" si="10"/>
        <v>34</v>
      </c>
      <c r="T27" s="333">
        <f t="shared" ca="1" si="11"/>
        <v>0</v>
      </c>
      <c r="U27" s="415">
        <f t="shared" si="25"/>
        <v>25</v>
      </c>
      <c r="V27" s="415">
        <v>13</v>
      </c>
      <c r="W27" s="441" t="str">
        <f ca="1">IF($V27="","",CONCATENATE(TEXT($O27,"0"),IF(Start.listina!$Y$5="","",TEXT(500+$P27,"0000")),IF(Start.listina!$Y$6="","",CHOOSE(Start.listina!$Y$7,TEXT($Q27,"00"),CONCATENATE(TEXT($Q27,"00"),TEXT($S27,"000")), TEXT($R27,"00"))),TEXT(500+$P27,"0000"),IF(Start.listina!$Y$8="","",TEXT($T27,"0")),TEXT(999999*RAND(),"000000")))</f>
        <v>2070340511946784</v>
      </c>
      <c r="X27" s="417">
        <f t="shared" si="12"/>
        <v>25</v>
      </c>
      <c r="Y27" s="415">
        <f t="shared" ca="1" si="2"/>
        <v>2</v>
      </c>
      <c r="Z27" s="333">
        <f t="shared" ca="1" si="13"/>
        <v>50</v>
      </c>
      <c r="AA27" s="333">
        <f t="shared" ca="1" si="14"/>
        <v>39</v>
      </c>
      <c r="AB27" s="333">
        <f t="shared" ca="1" si="15"/>
        <v>48</v>
      </c>
      <c r="AC27" s="333">
        <f t="shared" ca="1" si="16"/>
        <v>7</v>
      </c>
      <c r="AD27" s="333">
        <f t="shared" ca="1" si="17"/>
        <v>0</v>
      </c>
      <c r="AE27" s="333">
        <f t="shared" ca="1" si="18"/>
        <v>0</v>
      </c>
      <c r="AG27" s="333">
        <f ca="1">IF(TYPE(VLOOKUP($A27,'1.kolo'!$L$3:$L$66,1,0))&gt;3,VLOOKUP($A27,'1.kolo'!$K$3:$L$66,2,0),VLOOKUP($A27,'1.kolo'!$L$3:$O$66,4,0))</f>
        <v>50</v>
      </c>
      <c r="AH27" s="333">
        <f ca="1">IF(TYPE(VLOOKUP($A27,'1.kolo'!$L$3:$L$66,1,0))&gt;3,VLOOKUP($A27,'1.kolo'!$O$3:$Q$66,2,0),VLOOKUP($A27,'1.kolo'!$L$3:$N$66,2,0))</f>
        <v>0</v>
      </c>
      <c r="AI27" s="333">
        <f ca="1">IF(TYPE(VLOOKUP($A27,'1.kolo'!$L$3:$L$66,1,0))&gt;3,VLOOKUP($A27,'1.kolo'!$O$3:$Q$66,3,0),VLOOKUP($A27,'1.kolo'!$L$3:$N$66,3,0))</f>
        <v>-1</v>
      </c>
      <c r="AJ27" s="333">
        <f t="shared" ca="1" si="19"/>
        <v>0</v>
      </c>
      <c r="AK27" s="333">
        <v>25</v>
      </c>
      <c r="AL27" s="442"/>
      <c r="AP27" s="333">
        <f ca="1">IF(TYPE(VLOOKUP($A27,'2.kolo'!$L$3:$L$66,1,0))&gt;3,IF(TYPE(VLOOKUP($A27,'2.kolo'!$K$3:$L$66,2,0))&gt;3,0,VLOOKUP($A27,'2.kolo'!$K$3:$L$66,2,0)),VLOOKUP($A27,'2.kolo'!$L$3:$O$66,4,0))</f>
        <v>39</v>
      </c>
      <c r="AQ27" s="333">
        <f ca="1">IF(TYPE(VLOOKUP($A27,'2.kolo'!$L$3:$L$66,1,0))&gt;3,IF(TYPE(VLOOKUP($A27,'2.kolo'!$O$3:$Q$66,2,0))&gt;3,0,VLOOKUP($A27,'2.kolo'!$O$3:$Q$66,2,0)),VLOOKUP($A27,'2.kolo'!$L$3:$N$66,2,0))</f>
        <v>1</v>
      </c>
      <c r="AR27" s="333">
        <f ca="1">IF(TYPE(VLOOKUP($A27,'2.kolo'!$L$3:$L$66,1,0))&gt;3,IF(TYPE(VLOOKUP($A27,'2.kolo'!$O$3:$Q$66,3,0))&gt;3,0,VLOOKUP($A27,'2.kolo'!$O$3:$Q$66,3,0)),VLOOKUP($A27,'2.kolo'!$L$3:$N$66,3,0))</f>
        <v>7</v>
      </c>
      <c r="AS27" s="333">
        <f t="shared" ca="1" si="20"/>
        <v>0</v>
      </c>
      <c r="AT27" s="415">
        <v>14</v>
      </c>
      <c r="AU27" s="442" t="str">
        <f ca="1">IF(AT27="","",CONCATENATE(TEXT($O27,"0"),IF(Start.listina!$Y$5="","",TEXT(500+$P27,"000")),TEXT(999999*RAND(),"000000")))</f>
        <v>2322955</v>
      </c>
      <c r="AV27" s="333">
        <f t="shared" ca="1" si="3"/>
        <v>0</v>
      </c>
      <c r="AY27" s="333">
        <f ca="1">IF(TYPE(VLOOKUP($A27,'3.kolo'!$L$3:$L$66,1,0))&gt;3,IF(TYPE(VLOOKUP($A27,'3.kolo'!$K$3:$L$66,2,0))&gt;3,0,VLOOKUP($A27,'3.kolo'!$K$3:$L$66,2,0)),VLOOKUP($A27,'3.kolo'!$L$3:$O$66,4,0))</f>
        <v>48</v>
      </c>
      <c r="AZ27" s="333">
        <f ca="1">IF(TYPE(VLOOKUP($A27,'3.kolo'!$L$3:$L$66,1,0))&gt;3,IF(TYPE(VLOOKUP($A27,'3.kolo'!$O$3:$Q$66,2,0))&gt;3,0,VLOOKUP($A27,'3.kolo'!$O$3:$Q$66,2,0)),VLOOKUP($A27,'3.kolo'!$L$3:$N$66,2,0))</f>
        <v>1</v>
      </c>
      <c r="BA27" s="333">
        <f ca="1">IF(TYPE(VLOOKUP($A27,'3.kolo'!$L$3:$L$66,1,0))&gt;3,IF(TYPE(VLOOKUP($A27,'3.kolo'!$O$3:$Q$66,3,0))&gt;3,0,VLOOKUP($A27,'3.kolo'!$O$3:$Q$66,3,0)),VLOOKUP($A27,'3.kolo'!$L$3:$N$66,3,0))</f>
        <v>7</v>
      </c>
      <c r="BB27" s="333">
        <f t="shared" ca="1" si="21"/>
        <v>0</v>
      </c>
      <c r="BC27" s="415">
        <v>20</v>
      </c>
      <c r="BD27" s="442" t="str">
        <f ca="1">IF(BC27="","",CONCATENATE(TEXT($O27,"0"),IF(Start.listina!$Y$5="","",TEXT(500+$P27,"000")),TEXT(999999*RAND(),"000000")))</f>
        <v>2912701</v>
      </c>
      <c r="BE27" s="333">
        <f t="shared" ca="1" si="4"/>
        <v>0</v>
      </c>
      <c r="BH27" s="333">
        <f ca="1">IF(TYPE(VLOOKUP($A27,'4.kolo'!$L$3:$L$66,1,0))&gt;3,IF(TYPE(VLOOKUP($A27,'4.kolo'!$K$3:$L$66,2,0))&gt;3,0,VLOOKUP($A27,'4.kolo'!$K$3:$L$66,2,0)),VLOOKUP($A27,'4.kolo'!$L$3:$O$66,4,0))</f>
        <v>7</v>
      </c>
      <c r="BI27" s="333">
        <f ca="1">IF(TYPE(VLOOKUP($A27,'4.kolo'!$L$3:$L$66,1,0))&gt;3,IF(TYPE(VLOOKUP($A27,'4.kolo'!$O$3:$Q$66,2,0))&gt;3,0,VLOOKUP($A27,'4.kolo'!$O$3:$Q$66,2,0)),VLOOKUP($A27,'4.kolo'!$L$3:$N$66,2,0))</f>
        <v>0</v>
      </c>
      <c r="BJ27" s="333">
        <f ca="1">IF(TYPE(VLOOKUP($A27,'4.kolo'!$L$3:$L$66,1,0))&gt;3,IF(TYPE(VLOOKUP($A27,'4.kolo'!$O$3:$Q$66,3,0))&gt;3,0,VLOOKUP($A27,'4.kolo'!$O$3:$Q$66,3,0)),VLOOKUP($A27,'4.kolo'!$L$3:$N$66,3,0))</f>
        <v>-2</v>
      </c>
      <c r="BK27" s="333">
        <f t="shared" ca="1" si="22"/>
        <v>0</v>
      </c>
      <c r="BL27" s="415">
        <v>4</v>
      </c>
      <c r="BM27" s="442" t="str">
        <f ca="1">IF(BL27="","",CONCATENATE(TEXT($O27,"0"),IF(Start.listina!$Y$5="","",TEXT(500+$P27,"000")),TEXT(999999*RAND(),"000000")))</f>
        <v>2832817</v>
      </c>
      <c r="BN27" s="333">
        <f t="shared" ca="1" si="5"/>
        <v>0</v>
      </c>
      <c r="BQ27" s="333">
        <f ca="1">IF(TYPE(VLOOKUP($A27,'5.kolo'!$L$3:$L$66,1,0))&gt;3,IF(TYPE(VLOOKUP($A27,'5.kolo'!$K$3:$L$66,2,0))&gt;3,0,VLOOKUP($A27,'5.kolo'!$K$3:$L$66,2,0)),VLOOKUP($A27,'5.kolo'!$L$3:$O$66,4,0))</f>
        <v>0</v>
      </c>
      <c r="BR27" s="333">
        <f ca="1">IF(TYPE(VLOOKUP($A27,'5.kolo'!$L$3:$L$66,1,0))&gt;3,IF(TYPE(VLOOKUP($A27,'5.kolo'!$O$3:$Q$66,2,0))&gt;3,0,VLOOKUP($A27,'5.kolo'!$O$3:$Q$66,2,0)),VLOOKUP($A27,'5.kolo'!$L$3:$N$66,2,0))</f>
        <v>0</v>
      </c>
      <c r="BS27" s="333">
        <f ca="1">IF(TYPE(VLOOKUP($A27,'5.kolo'!$L$3:$L$66,1,0))&gt;3,IF(TYPE(VLOOKUP($A27,'5.kolo'!$O$3:$Q$66,3,0))&gt;3,0,VLOOKUP($A27,'5.kolo'!$O$3:$Q$66,3,0)),VLOOKUP($A27,'5.kolo'!$L$3:$N$66,3,0))</f>
        <v>0</v>
      </c>
      <c r="BT27" s="333">
        <f t="shared" ca="1" si="23"/>
        <v>0</v>
      </c>
      <c r="BU27" s="415"/>
      <c r="BV27" s="442" t="str">
        <f ca="1">IF(BU27="","",CONCATENATE(TEXT($O27,"0"),IF(Start.listina!$Y$5="","",TEXT(500+$P27,"000")),TEXT(999999*RAND(),"000000")))</f>
        <v/>
      </c>
      <c r="BW27" s="333">
        <f t="shared" ca="1" si="6"/>
        <v>0</v>
      </c>
      <c r="BZ27" s="333">
        <f ca="1">IF(TYPE(VLOOKUP($A27,'6.kolo'!$L$3:$L$66,1,0))&gt;3,IF(TYPE(VLOOKUP($A27,'6.kolo'!$K$3:$L$66,2,0))&gt;3,0,VLOOKUP($A27,'6.kolo'!$K$3:$L$66,2,0)),VLOOKUP($A27,'6.kolo'!$L$3:$O$66,4,0))</f>
        <v>0</v>
      </c>
      <c r="CA27" s="333">
        <f ca="1">IF(TYPE(VLOOKUP($A27,'6.kolo'!$L$3:$L$66,1,0))&gt;3,IF(TYPE(VLOOKUP($A27,'6.kolo'!$O$3:$Q$66,2,0))&gt;3,0,VLOOKUP($A27,'6.kolo'!$O$3:$Q$66,2,0)),VLOOKUP($A27,'6.kolo'!$L$3:$N$66,2,0))</f>
        <v>0</v>
      </c>
      <c r="CB27" s="333">
        <f ca="1">IF(TYPE(VLOOKUP($A27,'6.kolo'!$L$3:$L$66,1,0))&gt;3,IF(TYPE(VLOOKUP($A27,'6.kolo'!$O$3:$Q$66,3,0))&gt;3,0,VLOOKUP($A27,'6.kolo'!$O$3:$Q$66,3,0)),VLOOKUP($A27,'6.kolo'!$L$3:$N$66,3,0))</f>
        <v>0</v>
      </c>
      <c r="CC27" s="333">
        <f t="shared" ca="1" si="24"/>
        <v>0</v>
      </c>
      <c r="CD27" s="415"/>
      <c r="CE27" s="442" t="str">
        <f ca="1">IF(CD27="","",CONCATENATE(TEXT($O27,"0"),IF(Start.listina!$Y$5="","",TEXT(500+$P27,"000")),TEXT(999999*RAND(),"000000")))</f>
        <v/>
      </c>
      <c r="CF27" s="333">
        <f t="shared" ca="1" si="7"/>
        <v>0</v>
      </c>
    </row>
    <row r="28" spans="1:84" x14ac:dyDescent="0.25">
      <c r="A28" s="333">
        <f>IF(OR(Start.listina!H36&gt;Start.listina!$K$7,Start.listina!G36=TRUE),"",Start.listina!H36)</f>
        <v>26</v>
      </c>
      <c r="B28" s="333">
        <f>IF($A28&gt;Start.listina!$K$7,"",INT(($A28-1)/Start.listina!$O$7)+1)</f>
        <v>1</v>
      </c>
      <c r="C28" s="439" t="str">
        <f>IF(OR(Start.listina!H36&gt;Start.listina!$K$7,Start.listina!G36=TRUE)," - ",Start.listina!AL36)</f>
        <v>26 SKP Kulová osma - Lhoták Jaroslav</v>
      </c>
      <c r="D28" s="333">
        <f>IF(OR(A28&gt;Start.listina!$K$7,TYPE(VLOOKUP(A28,$V$3:$X$130,3,0))&gt;3),"",VLOOKUP(A28,$V$3:$X$130,3,0))</f>
        <v>44</v>
      </c>
      <c r="E28" s="440">
        <f ca="1">IF(A28&gt;Start.listina!$K$7,"",IF(MIN(F28:K28)&gt;Start.listina!$Y$4,D28,MIN(F28:K28)))</f>
        <v>44</v>
      </c>
      <c r="F28" s="333">
        <f ca="1">IF(TYPE(VLOOKUP(C28,Konečné_pořadí_1_16!$B$2:$D$17,3,0))&lt;4,VLOOKUP(C28,Konečné_pořadí_1_16!$B$2:$D$17,3,0),999)</f>
        <v>999</v>
      </c>
      <c r="G28" s="333">
        <f ca="1">IF(TYPE(VLOOKUP(C28,'KO64'!$D$4:$D$129,1,0))&lt;4,64,999)</f>
        <v>999</v>
      </c>
      <c r="H28" s="333">
        <f ca="1">IF(TYPE(VLOOKUP(C28,'KO32'!$D$4:$D$65,1,0))&lt;4,32,999)</f>
        <v>999</v>
      </c>
      <c r="I28" s="333">
        <f ca="1">IF(TYPE(VLOOKUP(C28,'KO16'!$D$4:$D$33,1,0))&lt;4,16,999)</f>
        <v>999</v>
      </c>
      <c r="J28" s="333">
        <f ca="1">IF(TYPE(VLOOKUP(C28,'KO8'!$D$4:$D$17,1,0))&lt;4,8,999)</f>
        <v>999</v>
      </c>
      <c r="K28" s="333">
        <f ca="1">IF(TYPE(VLOOKUP(C28,'KO4'!$D$4:$D$9,1,0))&lt;4,4,999)</f>
        <v>999</v>
      </c>
      <c r="M28" s="334">
        <v>26</v>
      </c>
      <c r="O28" s="333">
        <f t="shared" ca="1" si="8"/>
        <v>1</v>
      </c>
      <c r="P28" s="333">
        <f t="shared" ca="1" si="9"/>
        <v>-1</v>
      </c>
      <c r="Q28" s="333">
        <f t="shared" ca="1" si="0"/>
        <v>7</v>
      </c>
      <c r="R28" s="333">
        <f t="shared" ca="1" si="1"/>
        <v>0</v>
      </c>
      <c r="S28" s="333">
        <f t="shared" ca="1" si="10"/>
        <v>29</v>
      </c>
      <c r="T28" s="333">
        <f t="shared" ca="1" si="11"/>
        <v>1</v>
      </c>
      <c r="U28" s="415">
        <f t="shared" si="25"/>
        <v>26</v>
      </c>
      <c r="V28" s="415">
        <v>14</v>
      </c>
      <c r="W28" s="441" t="str">
        <f ca="1">IF($V28="","",CONCATENATE(TEXT($O28,"0"),IF(Start.listina!$Y$5="","",TEXT(500+$P28,"0000")),IF(Start.listina!$Y$6="","",CHOOSE(Start.listina!$Y$7,TEXT($Q28,"00"),CONCATENATE(TEXT($Q28,"00"),TEXT($S28,"000")), TEXT($R28,"00"))),TEXT(500+$P28,"0000"),IF(Start.listina!$Y$8="","",TEXT($T28,"0")),TEXT(999999*RAND(),"000000")))</f>
        <v>1070290499123265</v>
      </c>
      <c r="X28" s="417">
        <f t="shared" si="12"/>
        <v>26</v>
      </c>
      <c r="Y28" s="415">
        <f t="shared" ca="1" si="2"/>
        <v>2</v>
      </c>
      <c r="Z28" s="333">
        <f t="shared" ca="1" si="13"/>
        <v>1</v>
      </c>
      <c r="AA28" s="333">
        <f t="shared" ca="1" si="14"/>
        <v>36</v>
      </c>
      <c r="AB28" s="333">
        <f t="shared" ca="1" si="15"/>
        <v>14</v>
      </c>
      <c r="AC28" s="333">
        <f t="shared" ca="1" si="16"/>
        <v>29</v>
      </c>
      <c r="AD28" s="333">
        <f t="shared" ca="1" si="17"/>
        <v>0</v>
      </c>
      <c r="AE28" s="333">
        <f t="shared" ca="1" si="18"/>
        <v>0</v>
      </c>
      <c r="AG28" s="333">
        <f ca="1">IF(TYPE(VLOOKUP($A28,'1.kolo'!$L$3:$L$66,1,0))&gt;3,VLOOKUP($A28,'1.kolo'!$K$3:$L$66,2,0),VLOOKUP($A28,'1.kolo'!$L$3:$O$66,4,0))</f>
        <v>1</v>
      </c>
      <c r="AH28" s="333">
        <f ca="1">IF(TYPE(VLOOKUP($A28,'1.kolo'!$L$3:$L$66,1,0))&gt;3,VLOOKUP($A28,'1.kolo'!$O$3:$Q$66,2,0),VLOOKUP($A28,'1.kolo'!$L$3:$N$66,2,0))</f>
        <v>0</v>
      </c>
      <c r="AI28" s="333">
        <f ca="1">IF(TYPE(VLOOKUP($A28,'1.kolo'!$L$3:$L$66,1,0))&gt;3,VLOOKUP($A28,'1.kolo'!$O$3:$Q$66,3,0),VLOOKUP($A28,'1.kolo'!$L$3:$N$66,3,0))</f>
        <v>-5</v>
      </c>
      <c r="AJ28" s="333">
        <f t="shared" ca="1" si="19"/>
        <v>0</v>
      </c>
      <c r="AK28" s="333">
        <v>26</v>
      </c>
      <c r="AL28" s="442"/>
      <c r="AP28" s="333">
        <f ca="1">IF(TYPE(VLOOKUP($A28,'2.kolo'!$L$3:$L$66,1,0))&gt;3,IF(TYPE(VLOOKUP($A28,'2.kolo'!$K$3:$L$66,2,0))&gt;3,0,VLOOKUP($A28,'2.kolo'!$K$3:$L$66,2,0)),VLOOKUP($A28,'2.kolo'!$L$3:$O$66,4,0))</f>
        <v>36</v>
      </c>
      <c r="AQ28" s="333">
        <f ca="1">IF(TYPE(VLOOKUP($A28,'2.kolo'!$L$3:$L$66,1,0))&gt;3,IF(TYPE(VLOOKUP($A28,'2.kolo'!$O$3:$Q$66,2,0))&gt;3,0,VLOOKUP($A28,'2.kolo'!$O$3:$Q$66,2,0)),VLOOKUP($A28,'2.kolo'!$L$3:$N$66,2,0))</f>
        <v>1</v>
      </c>
      <c r="AR28" s="333">
        <f ca="1">IF(TYPE(VLOOKUP($A28,'2.kolo'!$L$3:$L$66,1,0))&gt;3,IF(TYPE(VLOOKUP($A28,'2.kolo'!$O$3:$Q$66,3,0))&gt;3,0,VLOOKUP($A28,'2.kolo'!$O$3:$Q$66,3,0)),VLOOKUP($A28,'2.kolo'!$L$3:$N$66,3,0))</f>
        <v>8</v>
      </c>
      <c r="AS28" s="333">
        <f t="shared" ca="1" si="20"/>
        <v>1</v>
      </c>
      <c r="AT28" s="415">
        <v>43</v>
      </c>
      <c r="AU28" s="442" t="str">
        <f ca="1">IF(AT28="","",CONCATENATE(TEXT($O28,"0"),IF(Start.listina!$Y$5="","",TEXT(500+$P28,"000")),TEXT(999999*RAND(),"000000")))</f>
        <v>1769193</v>
      </c>
      <c r="AV28" s="333">
        <f t="shared" ca="1" si="3"/>
        <v>0</v>
      </c>
      <c r="AY28" s="333">
        <f ca="1">IF(TYPE(VLOOKUP($A28,'3.kolo'!$L$3:$L$66,1,0))&gt;3,IF(TYPE(VLOOKUP($A28,'3.kolo'!$K$3:$L$66,2,0))&gt;3,0,VLOOKUP($A28,'3.kolo'!$K$3:$L$66,2,0)),VLOOKUP($A28,'3.kolo'!$L$3:$O$66,4,0))</f>
        <v>14</v>
      </c>
      <c r="AZ28" s="333">
        <f ca="1">IF(TYPE(VLOOKUP($A28,'3.kolo'!$L$3:$L$66,1,0))&gt;3,IF(TYPE(VLOOKUP($A28,'3.kolo'!$O$3:$Q$66,2,0))&gt;3,0,VLOOKUP($A28,'3.kolo'!$O$3:$Q$66,2,0)),VLOOKUP($A28,'3.kolo'!$L$3:$N$66,2,0))</f>
        <v>0</v>
      </c>
      <c r="BA28" s="333">
        <f ca="1">IF(TYPE(VLOOKUP($A28,'3.kolo'!$L$3:$L$66,1,0))&gt;3,IF(TYPE(VLOOKUP($A28,'3.kolo'!$O$3:$Q$66,3,0))&gt;3,0,VLOOKUP($A28,'3.kolo'!$O$3:$Q$66,3,0)),VLOOKUP($A28,'3.kolo'!$L$3:$N$66,3,0))</f>
        <v>-3</v>
      </c>
      <c r="BB28" s="333">
        <f t="shared" ca="1" si="21"/>
        <v>0</v>
      </c>
      <c r="BC28" s="415">
        <v>32</v>
      </c>
      <c r="BD28" s="442" t="str">
        <f ca="1">IF(BC28="","",CONCATENATE(TEXT($O28,"0"),IF(Start.listina!$Y$5="","",TEXT(500+$P28,"000")),TEXT(999999*RAND(),"000000")))</f>
        <v>1199630</v>
      </c>
      <c r="BE28" s="333">
        <f t="shared" ca="1" si="4"/>
        <v>0</v>
      </c>
      <c r="BH28" s="333">
        <f ca="1">IF(TYPE(VLOOKUP($A28,'4.kolo'!$L$3:$L$66,1,0))&gt;3,IF(TYPE(VLOOKUP($A28,'4.kolo'!$K$3:$L$66,2,0))&gt;3,0,VLOOKUP($A28,'4.kolo'!$K$3:$L$66,2,0)),VLOOKUP($A28,'4.kolo'!$L$3:$O$66,4,0))</f>
        <v>29</v>
      </c>
      <c r="BI28" s="333">
        <f ca="1">IF(TYPE(VLOOKUP($A28,'4.kolo'!$L$3:$L$66,1,0))&gt;3,IF(TYPE(VLOOKUP($A28,'4.kolo'!$O$3:$Q$66,2,0))&gt;3,0,VLOOKUP($A28,'4.kolo'!$O$3:$Q$66,2,0)),VLOOKUP($A28,'4.kolo'!$L$3:$N$66,2,0))</f>
        <v>0</v>
      </c>
      <c r="BJ28" s="333">
        <f ca="1">IF(TYPE(VLOOKUP($A28,'4.kolo'!$L$3:$L$66,1,0))&gt;3,IF(TYPE(VLOOKUP($A28,'4.kolo'!$O$3:$Q$66,3,0))&gt;3,0,VLOOKUP($A28,'4.kolo'!$O$3:$Q$66,3,0)),VLOOKUP($A28,'4.kolo'!$L$3:$N$66,3,0))</f>
        <v>-1</v>
      </c>
      <c r="BK28" s="333">
        <f t="shared" ca="1" si="22"/>
        <v>0</v>
      </c>
      <c r="BL28" s="415">
        <v>1</v>
      </c>
      <c r="BM28" s="442" t="str">
        <f ca="1">IF(BL28="","",CONCATENATE(TEXT($O28,"0"),IF(Start.listina!$Y$5="","",TEXT(500+$P28,"000")),TEXT(999999*RAND(),"000000")))</f>
        <v>1734238</v>
      </c>
      <c r="BN28" s="333">
        <f t="shared" ca="1" si="5"/>
        <v>0</v>
      </c>
      <c r="BQ28" s="333">
        <f ca="1">IF(TYPE(VLOOKUP($A28,'5.kolo'!$L$3:$L$66,1,0))&gt;3,IF(TYPE(VLOOKUP($A28,'5.kolo'!$K$3:$L$66,2,0))&gt;3,0,VLOOKUP($A28,'5.kolo'!$K$3:$L$66,2,0)),VLOOKUP($A28,'5.kolo'!$L$3:$O$66,4,0))</f>
        <v>0</v>
      </c>
      <c r="BR28" s="333">
        <f ca="1">IF(TYPE(VLOOKUP($A28,'5.kolo'!$L$3:$L$66,1,0))&gt;3,IF(TYPE(VLOOKUP($A28,'5.kolo'!$O$3:$Q$66,2,0))&gt;3,0,VLOOKUP($A28,'5.kolo'!$O$3:$Q$66,2,0)),VLOOKUP($A28,'5.kolo'!$L$3:$N$66,2,0))</f>
        <v>0</v>
      </c>
      <c r="BS28" s="333">
        <f ca="1">IF(TYPE(VLOOKUP($A28,'5.kolo'!$L$3:$L$66,1,0))&gt;3,IF(TYPE(VLOOKUP($A28,'5.kolo'!$O$3:$Q$66,3,0))&gt;3,0,VLOOKUP($A28,'5.kolo'!$O$3:$Q$66,3,0)),VLOOKUP($A28,'5.kolo'!$L$3:$N$66,3,0))</f>
        <v>0</v>
      </c>
      <c r="BT28" s="333">
        <f t="shared" ca="1" si="23"/>
        <v>0</v>
      </c>
      <c r="BU28" s="415"/>
      <c r="BV28" s="442" t="str">
        <f ca="1">IF(BU28="","",CONCATENATE(TEXT($O28,"0"),IF(Start.listina!$Y$5="","",TEXT(500+$P28,"000")),TEXT(999999*RAND(),"000000")))</f>
        <v/>
      </c>
      <c r="BW28" s="333">
        <f t="shared" ca="1" si="6"/>
        <v>0</v>
      </c>
      <c r="BZ28" s="333">
        <f ca="1">IF(TYPE(VLOOKUP($A28,'6.kolo'!$L$3:$L$66,1,0))&gt;3,IF(TYPE(VLOOKUP($A28,'6.kolo'!$K$3:$L$66,2,0))&gt;3,0,VLOOKUP($A28,'6.kolo'!$K$3:$L$66,2,0)),VLOOKUP($A28,'6.kolo'!$L$3:$O$66,4,0))</f>
        <v>0</v>
      </c>
      <c r="CA28" s="333">
        <f ca="1">IF(TYPE(VLOOKUP($A28,'6.kolo'!$L$3:$L$66,1,0))&gt;3,IF(TYPE(VLOOKUP($A28,'6.kolo'!$O$3:$Q$66,2,0))&gt;3,0,VLOOKUP($A28,'6.kolo'!$O$3:$Q$66,2,0)),VLOOKUP($A28,'6.kolo'!$L$3:$N$66,2,0))</f>
        <v>0</v>
      </c>
      <c r="CB28" s="333">
        <f ca="1">IF(TYPE(VLOOKUP($A28,'6.kolo'!$L$3:$L$66,1,0))&gt;3,IF(TYPE(VLOOKUP($A28,'6.kolo'!$O$3:$Q$66,3,0))&gt;3,0,VLOOKUP($A28,'6.kolo'!$O$3:$Q$66,3,0)),VLOOKUP($A28,'6.kolo'!$L$3:$N$66,3,0))</f>
        <v>0</v>
      </c>
      <c r="CC28" s="333">
        <f t="shared" ca="1" si="24"/>
        <v>0</v>
      </c>
      <c r="CD28" s="415"/>
      <c r="CE28" s="442" t="str">
        <f ca="1">IF(CD28="","",CONCATENATE(TEXT($O28,"0"),IF(Start.listina!$Y$5="","",TEXT(500+$P28,"000")),TEXT(999999*RAND(),"000000")))</f>
        <v/>
      </c>
      <c r="CF28" s="333">
        <f t="shared" ca="1" si="7"/>
        <v>0</v>
      </c>
    </row>
    <row r="29" spans="1:84" x14ac:dyDescent="0.25">
      <c r="A29" s="333">
        <f>IF(OR(Start.listina!H37&gt;Start.listina!$K$7,Start.listina!G37=TRUE),"",Start.listina!H37)</f>
        <v>27</v>
      </c>
      <c r="B29" s="333">
        <f>IF($A29&gt;Start.listina!$K$7,"",INT(($A29-1)/Start.listina!$O$7)+1)</f>
        <v>2</v>
      </c>
      <c r="C29" s="439" t="str">
        <f>IF(OR(Start.listina!H37&gt;Start.listina!$K$7,Start.listina!G37=TRUE)," - ",Start.listina!AL37)</f>
        <v>27 Sokol Kostomlaty - Hercoková Milena</v>
      </c>
      <c r="D29" s="333">
        <f>IF(OR(A29&gt;Start.listina!$K$7,TYPE(VLOOKUP(A29,$V$3:$X$130,3,0))&gt;3),"",VLOOKUP(A29,$V$3:$X$130,3,0))</f>
        <v>41</v>
      </c>
      <c r="E29" s="440">
        <f ca="1">IF(A29&gt;Start.listina!$K$7,"",IF(MIN(F29:K29)&gt;Start.listina!$Y$4,D29,MIN(F29:K29)))</f>
        <v>41</v>
      </c>
      <c r="F29" s="333">
        <f ca="1">IF(TYPE(VLOOKUP(C29,Konečné_pořadí_1_16!$B$2:$D$17,3,0))&lt;4,VLOOKUP(C29,Konečné_pořadí_1_16!$B$2:$D$17,3,0),999)</f>
        <v>999</v>
      </c>
      <c r="G29" s="333">
        <f ca="1">IF(TYPE(VLOOKUP(C29,'KO64'!$D$4:$D$129,1,0))&lt;4,64,999)</f>
        <v>999</v>
      </c>
      <c r="H29" s="333">
        <f ca="1">IF(TYPE(VLOOKUP(C29,'KO32'!$D$4:$D$65,1,0))&lt;4,32,999)</f>
        <v>999</v>
      </c>
      <c r="I29" s="333">
        <f ca="1">IF(TYPE(VLOOKUP(C29,'KO16'!$D$4:$D$33,1,0))&lt;4,16,999)</f>
        <v>999</v>
      </c>
      <c r="J29" s="333">
        <f ca="1">IF(TYPE(VLOOKUP(C29,'KO8'!$D$4:$D$17,1,0))&lt;4,8,999)</f>
        <v>999</v>
      </c>
      <c r="K29" s="333">
        <f ca="1">IF(TYPE(VLOOKUP(C29,'KO4'!$D$4:$D$9,1,0))&lt;4,4,999)</f>
        <v>999</v>
      </c>
      <c r="M29" s="334">
        <v>27</v>
      </c>
      <c r="O29" s="333">
        <f t="shared" ca="1" si="8"/>
        <v>1</v>
      </c>
      <c r="P29" s="333">
        <f t="shared" ca="1" si="9"/>
        <v>-8</v>
      </c>
      <c r="Q29" s="333">
        <f t="shared" ca="1" si="0"/>
        <v>8</v>
      </c>
      <c r="R29" s="333">
        <f t="shared" ca="1" si="1"/>
        <v>1</v>
      </c>
      <c r="S29" s="333">
        <f t="shared" ca="1" si="10"/>
        <v>27</v>
      </c>
      <c r="T29" s="333">
        <f t="shared" ca="1" si="11"/>
        <v>1</v>
      </c>
      <c r="U29" s="415">
        <f t="shared" si="25"/>
        <v>27</v>
      </c>
      <c r="V29" s="415">
        <v>8</v>
      </c>
      <c r="W29" s="441" t="str">
        <f ca="1">IF($V29="","",CONCATENATE(TEXT($O29,"0"),IF(Start.listina!$Y$5="","",TEXT(500+$P29,"0000")),IF(Start.listina!$Y$6="","",CHOOSE(Start.listina!$Y$7,TEXT($Q29,"00"),CONCATENATE(TEXT($Q29,"00"),TEXT($S29,"000")), TEXT($R29,"00"))),TEXT(500+$P29,"0000"),IF(Start.listina!$Y$8="","",TEXT($T29,"0")),TEXT(999999*RAND(),"000000")))</f>
        <v>1080270492311568</v>
      </c>
      <c r="X29" s="417">
        <f t="shared" si="12"/>
        <v>27</v>
      </c>
      <c r="Y29" s="415">
        <f t="shared" ca="1" si="2"/>
        <v>2</v>
      </c>
      <c r="Z29" s="333">
        <f t="shared" ca="1" si="13"/>
        <v>2</v>
      </c>
      <c r="AA29" s="333">
        <f t="shared" ca="1" si="14"/>
        <v>38</v>
      </c>
      <c r="AB29" s="333">
        <f t="shared" ca="1" si="15"/>
        <v>33</v>
      </c>
      <c r="AC29" s="333">
        <f t="shared" ca="1" si="16"/>
        <v>51</v>
      </c>
      <c r="AD29" s="333">
        <f t="shared" ca="1" si="17"/>
        <v>0</v>
      </c>
      <c r="AE29" s="333">
        <f t="shared" ca="1" si="18"/>
        <v>0</v>
      </c>
      <c r="AG29" s="333">
        <f ca="1">IF(TYPE(VLOOKUP($A29,'1.kolo'!$L$3:$L$66,1,0))&gt;3,VLOOKUP($A29,'1.kolo'!$K$3:$L$66,2,0),VLOOKUP($A29,'1.kolo'!$L$3:$O$66,4,0))</f>
        <v>2</v>
      </c>
      <c r="AH29" s="333">
        <f ca="1">IF(TYPE(VLOOKUP($A29,'1.kolo'!$L$3:$L$66,1,0))&gt;3,VLOOKUP($A29,'1.kolo'!$O$3:$Q$66,2,0),VLOOKUP($A29,'1.kolo'!$L$3:$N$66,2,0))</f>
        <v>0</v>
      </c>
      <c r="AI29" s="333">
        <f ca="1">IF(TYPE(VLOOKUP($A29,'1.kolo'!$L$3:$L$66,1,0))&gt;3,VLOOKUP($A29,'1.kolo'!$O$3:$Q$66,3,0),VLOOKUP($A29,'1.kolo'!$L$3:$N$66,3,0))</f>
        <v>-8</v>
      </c>
      <c r="AJ29" s="333">
        <f t="shared" ca="1" si="19"/>
        <v>0</v>
      </c>
      <c r="AK29" s="333">
        <v>27</v>
      </c>
      <c r="AL29" s="442"/>
      <c r="AP29" s="333">
        <f ca="1">IF(TYPE(VLOOKUP($A29,'2.kolo'!$L$3:$L$66,1,0))&gt;3,IF(TYPE(VLOOKUP($A29,'2.kolo'!$K$3:$L$66,2,0))&gt;3,0,VLOOKUP($A29,'2.kolo'!$K$3:$L$66,2,0)),VLOOKUP($A29,'2.kolo'!$L$3:$O$66,4,0))</f>
        <v>38</v>
      </c>
      <c r="AQ29" s="333">
        <f ca="1">IF(TYPE(VLOOKUP($A29,'2.kolo'!$L$3:$L$66,1,0))&gt;3,IF(TYPE(VLOOKUP($A29,'2.kolo'!$O$3:$Q$66,2,0))&gt;3,0,VLOOKUP($A29,'2.kolo'!$O$3:$Q$66,2,0)),VLOOKUP($A29,'2.kolo'!$L$3:$N$66,2,0))</f>
        <v>0</v>
      </c>
      <c r="AR29" s="333">
        <f ca="1">IF(TYPE(VLOOKUP($A29,'2.kolo'!$L$3:$L$66,1,0))&gt;3,IF(TYPE(VLOOKUP($A29,'2.kolo'!$O$3:$Q$66,3,0))&gt;3,0,VLOOKUP($A29,'2.kolo'!$O$3:$Q$66,3,0)),VLOOKUP($A29,'2.kolo'!$L$3:$N$66,3,0))</f>
        <v>-4</v>
      </c>
      <c r="AS29" s="333">
        <f t="shared" ca="1" si="20"/>
        <v>0</v>
      </c>
      <c r="AT29" s="415">
        <v>42</v>
      </c>
      <c r="AU29" s="442" t="str">
        <f ca="1">IF(AT29="","",CONCATENATE(TEXT($O29,"0"),IF(Start.listina!$Y$5="","",TEXT(500+$P29,"000")),TEXT(999999*RAND(),"000000")))</f>
        <v>1837763</v>
      </c>
      <c r="AV29" s="333">
        <f t="shared" ca="1" si="3"/>
        <v>0</v>
      </c>
      <c r="AY29" s="333">
        <f ca="1">IF(TYPE(VLOOKUP($A29,'3.kolo'!$L$3:$L$66,1,0))&gt;3,IF(TYPE(VLOOKUP($A29,'3.kolo'!$K$3:$L$66,2,0))&gt;3,0,VLOOKUP($A29,'3.kolo'!$K$3:$L$66,2,0)),VLOOKUP($A29,'3.kolo'!$L$3:$O$66,4,0))</f>
        <v>33</v>
      </c>
      <c r="AZ29" s="333">
        <f ca="1">IF(TYPE(VLOOKUP($A29,'3.kolo'!$L$3:$L$66,1,0))&gt;3,IF(TYPE(VLOOKUP($A29,'3.kolo'!$O$3:$Q$66,2,0))&gt;3,0,VLOOKUP($A29,'3.kolo'!$O$3:$Q$66,2,0)),VLOOKUP($A29,'3.kolo'!$L$3:$N$66,2,0))</f>
        <v>1</v>
      </c>
      <c r="BA29" s="333">
        <f ca="1">IF(TYPE(VLOOKUP($A29,'3.kolo'!$L$3:$L$66,1,0))&gt;3,IF(TYPE(VLOOKUP($A29,'3.kolo'!$O$3:$Q$66,3,0))&gt;3,0,VLOOKUP($A29,'3.kolo'!$O$3:$Q$66,3,0)),VLOOKUP($A29,'3.kolo'!$L$3:$N$66,3,0))</f>
        <v>10</v>
      </c>
      <c r="BB29" s="333">
        <f t="shared" ca="1" si="21"/>
        <v>1</v>
      </c>
      <c r="BC29" s="415">
        <v>1</v>
      </c>
      <c r="BD29" s="442" t="str">
        <f ca="1">IF(BC29="","",CONCATENATE(TEXT($O29,"0"),IF(Start.listina!$Y$5="","",TEXT(500+$P29,"000")),TEXT(999999*RAND(),"000000")))</f>
        <v>1830339</v>
      </c>
      <c r="BE29" s="333">
        <f t="shared" ca="1" si="4"/>
        <v>0</v>
      </c>
      <c r="BH29" s="333">
        <f ca="1">IF(TYPE(VLOOKUP($A29,'4.kolo'!$L$3:$L$66,1,0))&gt;3,IF(TYPE(VLOOKUP($A29,'4.kolo'!$K$3:$L$66,2,0))&gt;3,0,VLOOKUP($A29,'4.kolo'!$K$3:$L$66,2,0)),VLOOKUP($A29,'4.kolo'!$L$3:$O$66,4,0))</f>
        <v>51</v>
      </c>
      <c r="BI29" s="333">
        <f ca="1">IF(TYPE(VLOOKUP($A29,'4.kolo'!$L$3:$L$66,1,0))&gt;3,IF(TYPE(VLOOKUP($A29,'4.kolo'!$O$3:$Q$66,2,0))&gt;3,0,VLOOKUP($A29,'4.kolo'!$O$3:$Q$66,2,0)),VLOOKUP($A29,'4.kolo'!$L$3:$N$66,2,0))</f>
        <v>0</v>
      </c>
      <c r="BJ29" s="333">
        <f ca="1">IF(TYPE(VLOOKUP($A29,'4.kolo'!$L$3:$L$66,1,0))&gt;3,IF(TYPE(VLOOKUP($A29,'4.kolo'!$O$3:$Q$66,3,0))&gt;3,0,VLOOKUP($A29,'4.kolo'!$O$3:$Q$66,3,0)),VLOOKUP($A29,'4.kolo'!$L$3:$N$66,3,0))</f>
        <v>-6</v>
      </c>
      <c r="BK29" s="333">
        <f t="shared" ca="1" si="22"/>
        <v>0</v>
      </c>
      <c r="BL29" s="415">
        <v>46</v>
      </c>
      <c r="BM29" s="442" t="str">
        <f ca="1">IF(BL29="","",CONCATENATE(TEXT($O29,"0"),IF(Start.listina!$Y$5="","",TEXT(500+$P29,"000")),TEXT(999999*RAND(),"000000")))</f>
        <v>1713445</v>
      </c>
      <c r="BN29" s="333">
        <f t="shared" ca="1" si="5"/>
        <v>0</v>
      </c>
      <c r="BQ29" s="333">
        <f ca="1">IF(TYPE(VLOOKUP($A29,'5.kolo'!$L$3:$L$66,1,0))&gt;3,IF(TYPE(VLOOKUP($A29,'5.kolo'!$K$3:$L$66,2,0))&gt;3,0,VLOOKUP($A29,'5.kolo'!$K$3:$L$66,2,0)),VLOOKUP($A29,'5.kolo'!$L$3:$O$66,4,0))</f>
        <v>0</v>
      </c>
      <c r="BR29" s="333">
        <f ca="1">IF(TYPE(VLOOKUP($A29,'5.kolo'!$L$3:$L$66,1,0))&gt;3,IF(TYPE(VLOOKUP($A29,'5.kolo'!$O$3:$Q$66,2,0))&gt;3,0,VLOOKUP($A29,'5.kolo'!$O$3:$Q$66,2,0)),VLOOKUP($A29,'5.kolo'!$L$3:$N$66,2,0))</f>
        <v>0</v>
      </c>
      <c r="BS29" s="333">
        <f ca="1">IF(TYPE(VLOOKUP($A29,'5.kolo'!$L$3:$L$66,1,0))&gt;3,IF(TYPE(VLOOKUP($A29,'5.kolo'!$O$3:$Q$66,3,0))&gt;3,0,VLOOKUP($A29,'5.kolo'!$O$3:$Q$66,3,0)),VLOOKUP($A29,'5.kolo'!$L$3:$N$66,3,0))</f>
        <v>0</v>
      </c>
      <c r="BT29" s="333">
        <f t="shared" ca="1" si="23"/>
        <v>0</v>
      </c>
      <c r="BU29" s="415"/>
      <c r="BV29" s="442" t="str">
        <f ca="1">IF(BU29="","",CONCATENATE(TEXT($O29,"0"),IF(Start.listina!$Y$5="","",TEXT(500+$P29,"000")),TEXT(999999*RAND(),"000000")))</f>
        <v/>
      </c>
      <c r="BW29" s="333">
        <f t="shared" ca="1" si="6"/>
        <v>0</v>
      </c>
      <c r="BZ29" s="333">
        <f ca="1">IF(TYPE(VLOOKUP($A29,'6.kolo'!$L$3:$L$66,1,0))&gt;3,IF(TYPE(VLOOKUP($A29,'6.kolo'!$K$3:$L$66,2,0))&gt;3,0,VLOOKUP($A29,'6.kolo'!$K$3:$L$66,2,0)),VLOOKUP($A29,'6.kolo'!$L$3:$O$66,4,0))</f>
        <v>0</v>
      </c>
      <c r="CA29" s="333">
        <f ca="1">IF(TYPE(VLOOKUP($A29,'6.kolo'!$L$3:$L$66,1,0))&gt;3,IF(TYPE(VLOOKUP($A29,'6.kolo'!$O$3:$Q$66,2,0))&gt;3,0,VLOOKUP($A29,'6.kolo'!$O$3:$Q$66,2,0)),VLOOKUP($A29,'6.kolo'!$L$3:$N$66,2,0))</f>
        <v>0</v>
      </c>
      <c r="CB29" s="333">
        <f ca="1">IF(TYPE(VLOOKUP($A29,'6.kolo'!$L$3:$L$66,1,0))&gt;3,IF(TYPE(VLOOKUP($A29,'6.kolo'!$O$3:$Q$66,3,0))&gt;3,0,VLOOKUP($A29,'6.kolo'!$O$3:$Q$66,3,0)),VLOOKUP($A29,'6.kolo'!$L$3:$N$66,3,0))</f>
        <v>0</v>
      </c>
      <c r="CC29" s="333">
        <f t="shared" ca="1" si="24"/>
        <v>0</v>
      </c>
      <c r="CD29" s="415"/>
      <c r="CE29" s="442" t="str">
        <f ca="1">IF(CD29="","",CONCATENATE(TEXT($O29,"0"),IF(Start.listina!$Y$5="","",TEXT(500+$P29,"000")),TEXT(999999*RAND(),"000000")))</f>
        <v/>
      </c>
      <c r="CF29" s="333">
        <f t="shared" ca="1" si="7"/>
        <v>0</v>
      </c>
    </row>
    <row r="30" spans="1:84" x14ac:dyDescent="0.25">
      <c r="A30" s="333">
        <f>IF(OR(Start.listina!H38&gt;Start.listina!$K$7,Start.listina!G38=TRUE),"",Start.listina!H38)</f>
        <v>28</v>
      </c>
      <c r="B30" s="333">
        <f>IF($A30&gt;Start.listina!$K$7,"",INT(($A30-1)/Start.listina!$O$7)+1)</f>
        <v>2</v>
      </c>
      <c r="C30" s="439" t="str">
        <f>IF(OR(Start.listina!H38&gt;Start.listina!$K$7,Start.listina!G38=TRUE)," - ",Start.listina!AL38)</f>
        <v>28 C.T.P. Club Ořech - Leiský Leander</v>
      </c>
      <c r="D30" s="333">
        <f>IF(OR(A30&gt;Start.listina!$K$7,TYPE(VLOOKUP(A30,$V$3:$X$130,3,0))&gt;3),"",VLOOKUP(A30,$V$3:$X$130,3,0))</f>
        <v>40</v>
      </c>
      <c r="E30" s="440">
        <f ca="1">IF(A30&gt;Start.listina!$K$7,"",IF(MIN(F30:K30)&gt;Start.listina!$Y$4,D30,MIN(F30:K30)))</f>
        <v>40</v>
      </c>
      <c r="F30" s="333">
        <f ca="1">IF(TYPE(VLOOKUP(C30,Konečné_pořadí_1_16!$B$2:$D$17,3,0))&lt;4,VLOOKUP(C30,Konečné_pořadí_1_16!$B$2:$D$17,3,0),999)</f>
        <v>999</v>
      </c>
      <c r="G30" s="333">
        <f ca="1">IF(TYPE(VLOOKUP(C30,'KO64'!$D$4:$D$129,1,0))&lt;4,64,999)</f>
        <v>999</v>
      </c>
      <c r="H30" s="333">
        <f ca="1">IF(TYPE(VLOOKUP(C30,'KO32'!$D$4:$D$65,1,0))&lt;4,32,999)</f>
        <v>999</v>
      </c>
      <c r="I30" s="333">
        <f ca="1">IF(TYPE(VLOOKUP(C30,'KO16'!$D$4:$D$33,1,0))&lt;4,16,999)</f>
        <v>999</v>
      </c>
      <c r="J30" s="333">
        <f ca="1">IF(TYPE(VLOOKUP(C30,'KO8'!$D$4:$D$17,1,0))&lt;4,8,999)</f>
        <v>999</v>
      </c>
      <c r="K30" s="333">
        <f ca="1">IF(TYPE(VLOOKUP(C30,'KO4'!$D$4:$D$9,1,0))&lt;4,4,999)</f>
        <v>999</v>
      </c>
      <c r="M30" s="334">
        <v>28</v>
      </c>
      <c r="O30" s="333">
        <f t="shared" ca="1" si="8"/>
        <v>1</v>
      </c>
      <c r="P30" s="333">
        <f t="shared" ca="1" si="9"/>
        <v>-21</v>
      </c>
      <c r="Q30" s="333">
        <f t="shared" ca="1" si="0"/>
        <v>8</v>
      </c>
      <c r="R30" s="333">
        <f t="shared" ca="1" si="1"/>
        <v>0</v>
      </c>
      <c r="S30" s="333">
        <f t="shared" ca="1" si="10"/>
        <v>29</v>
      </c>
      <c r="T30" s="333">
        <f t="shared" ca="1" si="11"/>
        <v>1</v>
      </c>
      <c r="U30" s="415">
        <f t="shared" si="25"/>
        <v>28</v>
      </c>
      <c r="V30" s="415">
        <v>25</v>
      </c>
      <c r="W30" s="441" t="str">
        <f ca="1">IF($V30="","",CONCATENATE(TEXT($O30,"0"),IF(Start.listina!$Y$5="","",TEXT(500+$P30,"0000")),IF(Start.listina!$Y$6="","",CHOOSE(Start.listina!$Y$7,TEXT($Q30,"00"),CONCATENATE(TEXT($Q30,"00"),TEXT($S30,"000")), TEXT($R30,"00"))),TEXT(500+$P30,"0000"),IF(Start.listina!$Y$8="","",TEXT($T30,"0")),TEXT(999999*RAND(),"000000")))</f>
        <v>1080290479986444</v>
      </c>
      <c r="X30" s="417">
        <f t="shared" si="12"/>
        <v>28</v>
      </c>
      <c r="Y30" s="415">
        <f t="shared" ca="1" si="2"/>
        <v>2</v>
      </c>
      <c r="Z30" s="333">
        <f t="shared" ca="1" si="13"/>
        <v>3</v>
      </c>
      <c r="AA30" s="333">
        <f t="shared" ca="1" si="14"/>
        <v>30</v>
      </c>
      <c r="AB30" s="333">
        <f t="shared" ca="1" si="15"/>
        <v>12</v>
      </c>
      <c r="AC30" s="333">
        <f t="shared" ca="1" si="16"/>
        <v>5</v>
      </c>
      <c r="AD30" s="333">
        <f t="shared" ca="1" si="17"/>
        <v>0</v>
      </c>
      <c r="AE30" s="333">
        <f t="shared" ca="1" si="18"/>
        <v>0</v>
      </c>
      <c r="AG30" s="333">
        <f ca="1">IF(TYPE(VLOOKUP($A30,'1.kolo'!$L$3:$L$66,1,0))&gt;3,VLOOKUP($A30,'1.kolo'!$K$3:$L$66,2,0),VLOOKUP($A30,'1.kolo'!$L$3:$O$66,4,0))</f>
        <v>3</v>
      </c>
      <c r="AH30" s="333">
        <f ca="1">IF(TYPE(VLOOKUP($A30,'1.kolo'!$L$3:$L$66,1,0))&gt;3,VLOOKUP($A30,'1.kolo'!$O$3:$Q$66,2,0),VLOOKUP($A30,'1.kolo'!$L$3:$N$66,2,0))</f>
        <v>0</v>
      </c>
      <c r="AI30" s="333">
        <f ca="1">IF(TYPE(VLOOKUP($A30,'1.kolo'!$L$3:$L$66,1,0))&gt;3,VLOOKUP($A30,'1.kolo'!$O$3:$Q$66,3,0),VLOOKUP($A30,'1.kolo'!$L$3:$N$66,3,0))</f>
        <v>-11</v>
      </c>
      <c r="AJ30" s="333">
        <f t="shared" ca="1" si="19"/>
        <v>0</v>
      </c>
      <c r="AK30" s="333">
        <v>28</v>
      </c>
      <c r="AL30" s="442"/>
      <c r="AP30" s="333">
        <f ca="1">IF(TYPE(VLOOKUP($A30,'2.kolo'!$L$3:$L$66,1,0))&gt;3,IF(TYPE(VLOOKUP($A30,'2.kolo'!$K$3:$L$66,2,0))&gt;3,0,VLOOKUP($A30,'2.kolo'!$K$3:$L$66,2,0)),VLOOKUP($A30,'2.kolo'!$L$3:$O$66,4,0))</f>
        <v>30</v>
      </c>
      <c r="AQ30" s="333">
        <f ca="1">IF(TYPE(VLOOKUP($A30,'2.kolo'!$L$3:$L$66,1,0))&gt;3,IF(TYPE(VLOOKUP($A30,'2.kolo'!$O$3:$Q$66,2,0))&gt;3,0,VLOOKUP($A30,'2.kolo'!$O$3:$Q$66,2,0)),VLOOKUP($A30,'2.kolo'!$L$3:$N$66,2,0))</f>
        <v>1</v>
      </c>
      <c r="AR30" s="333">
        <f ca="1">IF(TYPE(VLOOKUP($A30,'2.kolo'!$L$3:$L$66,1,0))&gt;3,IF(TYPE(VLOOKUP($A30,'2.kolo'!$O$3:$Q$66,3,0))&gt;3,0,VLOOKUP($A30,'2.kolo'!$O$3:$Q$66,3,0)),VLOOKUP($A30,'2.kolo'!$L$3:$N$66,3,0))</f>
        <v>9</v>
      </c>
      <c r="AS30" s="333">
        <f t="shared" ca="1" si="20"/>
        <v>1</v>
      </c>
      <c r="AT30" s="415">
        <v>35</v>
      </c>
      <c r="AU30" s="442" t="str">
        <f ca="1">IF(AT30="","",CONCATENATE(TEXT($O30,"0"),IF(Start.listina!$Y$5="","",TEXT(500+$P30,"000")),TEXT(999999*RAND(),"000000")))</f>
        <v>1668223</v>
      </c>
      <c r="AV30" s="333">
        <f t="shared" ca="1" si="3"/>
        <v>0</v>
      </c>
      <c r="AY30" s="333">
        <f ca="1">IF(TYPE(VLOOKUP($A30,'3.kolo'!$L$3:$L$66,1,0))&gt;3,IF(TYPE(VLOOKUP($A30,'3.kolo'!$K$3:$L$66,2,0))&gt;3,0,VLOOKUP($A30,'3.kolo'!$K$3:$L$66,2,0)),VLOOKUP($A30,'3.kolo'!$L$3:$O$66,4,0))</f>
        <v>12</v>
      </c>
      <c r="AZ30" s="333">
        <f ca="1">IF(TYPE(VLOOKUP($A30,'3.kolo'!$L$3:$L$66,1,0))&gt;3,IF(TYPE(VLOOKUP($A30,'3.kolo'!$O$3:$Q$66,2,0))&gt;3,0,VLOOKUP($A30,'3.kolo'!$O$3:$Q$66,2,0)),VLOOKUP($A30,'3.kolo'!$L$3:$N$66,2,0))</f>
        <v>0</v>
      </c>
      <c r="BA30" s="333">
        <f ca="1">IF(TYPE(VLOOKUP($A30,'3.kolo'!$L$3:$L$66,1,0))&gt;3,IF(TYPE(VLOOKUP($A30,'3.kolo'!$O$3:$Q$66,3,0))&gt;3,0,VLOOKUP($A30,'3.kolo'!$O$3:$Q$66,3,0)),VLOOKUP($A30,'3.kolo'!$L$3:$N$66,3,0))</f>
        <v>-10</v>
      </c>
      <c r="BB30" s="333">
        <f t="shared" ca="1" si="21"/>
        <v>0</v>
      </c>
      <c r="BC30" s="415">
        <v>23</v>
      </c>
      <c r="BD30" s="442" t="str">
        <f ca="1">IF(BC30="","",CONCATENATE(TEXT($O30,"0"),IF(Start.listina!$Y$5="","",TEXT(500+$P30,"000")),TEXT(999999*RAND(),"000000")))</f>
        <v>1267582</v>
      </c>
      <c r="BE30" s="333">
        <f t="shared" ca="1" si="4"/>
        <v>0</v>
      </c>
      <c r="BH30" s="333">
        <f ca="1">IF(TYPE(VLOOKUP($A30,'4.kolo'!$L$3:$L$66,1,0))&gt;3,IF(TYPE(VLOOKUP($A30,'4.kolo'!$K$3:$L$66,2,0))&gt;3,0,VLOOKUP($A30,'4.kolo'!$K$3:$L$66,2,0)),VLOOKUP($A30,'4.kolo'!$L$3:$O$66,4,0))</f>
        <v>5</v>
      </c>
      <c r="BI30" s="333">
        <f ca="1">IF(TYPE(VLOOKUP($A30,'4.kolo'!$L$3:$L$66,1,0))&gt;3,IF(TYPE(VLOOKUP($A30,'4.kolo'!$O$3:$Q$66,2,0))&gt;3,0,VLOOKUP($A30,'4.kolo'!$O$3:$Q$66,2,0)),VLOOKUP($A30,'4.kolo'!$L$3:$N$66,2,0))</f>
        <v>0</v>
      </c>
      <c r="BJ30" s="333">
        <f ca="1">IF(TYPE(VLOOKUP($A30,'4.kolo'!$L$3:$L$66,1,0))&gt;3,IF(TYPE(VLOOKUP($A30,'4.kolo'!$O$3:$Q$66,3,0))&gt;3,0,VLOOKUP($A30,'4.kolo'!$O$3:$Q$66,3,0)),VLOOKUP($A30,'4.kolo'!$L$3:$N$66,3,0))</f>
        <v>-9</v>
      </c>
      <c r="BK30" s="333">
        <f t="shared" ca="1" si="22"/>
        <v>0</v>
      </c>
      <c r="BL30" s="415">
        <v>17</v>
      </c>
      <c r="BM30" s="442" t="str">
        <f ca="1">IF(BL30="","",CONCATENATE(TEXT($O30,"0"),IF(Start.listina!$Y$5="","",TEXT(500+$P30,"000")),TEXT(999999*RAND(),"000000")))</f>
        <v>1504428</v>
      </c>
      <c r="BN30" s="333">
        <f t="shared" ca="1" si="5"/>
        <v>0</v>
      </c>
      <c r="BQ30" s="333">
        <f ca="1">IF(TYPE(VLOOKUP($A30,'5.kolo'!$L$3:$L$66,1,0))&gt;3,IF(TYPE(VLOOKUP($A30,'5.kolo'!$K$3:$L$66,2,0))&gt;3,0,VLOOKUP($A30,'5.kolo'!$K$3:$L$66,2,0)),VLOOKUP($A30,'5.kolo'!$L$3:$O$66,4,0))</f>
        <v>0</v>
      </c>
      <c r="BR30" s="333">
        <f ca="1">IF(TYPE(VLOOKUP($A30,'5.kolo'!$L$3:$L$66,1,0))&gt;3,IF(TYPE(VLOOKUP($A30,'5.kolo'!$O$3:$Q$66,2,0))&gt;3,0,VLOOKUP($A30,'5.kolo'!$O$3:$Q$66,2,0)),VLOOKUP($A30,'5.kolo'!$L$3:$N$66,2,0))</f>
        <v>0</v>
      </c>
      <c r="BS30" s="333">
        <f ca="1">IF(TYPE(VLOOKUP($A30,'5.kolo'!$L$3:$L$66,1,0))&gt;3,IF(TYPE(VLOOKUP($A30,'5.kolo'!$O$3:$Q$66,3,0))&gt;3,0,VLOOKUP($A30,'5.kolo'!$O$3:$Q$66,3,0)),VLOOKUP($A30,'5.kolo'!$L$3:$N$66,3,0))</f>
        <v>0</v>
      </c>
      <c r="BT30" s="333">
        <f t="shared" ca="1" si="23"/>
        <v>0</v>
      </c>
      <c r="BU30" s="415"/>
      <c r="BV30" s="442" t="str">
        <f ca="1">IF(BU30="","",CONCATENATE(TEXT($O30,"0"),IF(Start.listina!$Y$5="","",TEXT(500+$P30,"000")),TEXT(999999*RAND(),"000000")))</f>
        <v/>
      </c>
      <c r="BW30" s="333">
        <f t="shared" ca="1" si="6"/>
        <v>0</v>
      </c>
      <c r="BZ30" s="333">
        <f ca="1">IF(TYPE(VLOOKUP($A30,'6.kolo'!$L$3:$L$66,1,0))&gt;3,IF(TYPE(VLOOKUP($A30,'6.kolo'!$K$3:$L$66,2,0))&gt;3,0,VLOOKUP($A30,'6.kolo'!$K$3:$L$66,2,0)),VLOOKUP($A30,'6.kolo'!$L$3:$O$66,4,0))</f>
        <v>0</v>
      </c>
      <c r="CA30" s="333">
        <f ca="1">IF(TYPE(VLOOKUP($A30,'6.kolo'!$L$3:$L$66,1,0))&gt;3,IF(TYPE(VLOOKUP($A30,'6.kolo'!$O$3:$Q$66,2,0))&gt;3,0,VLOOKUP($A30,'6.kolo'!$O$3:$Q$66,2,0)),VLOOKUP($A30,'6.kolo'!$L$3:$N$66,2,0))</f>
        <v>0</v>
      </c>
      <c r="CB30" s="333">
        <f ca="1">IF(TYPE(VLOOKUP($A30,'6.kolo'!$L$3:$L$66,1,0))&gt;3,IF(TYPE(VLOOKUP($A30,'6.kolo'!$O$3:$Q$66,3,0))&gt;3,0,VLOOKUP($A30,'6.kolo'!$O$3:$Q$66,3,0)),VLOOKUP($A30,'6.kolo'!$L$3:$N$66,3,0))</f>
        <v>0</v>
      </c>
      <c r="CC30" s="333">
        <f t="shared" ca="1" si="24"/>
        <v>0</v>
      </c>
      <c r="CD30" s="415"/>
      <c r="CE30" s="442" t="str">
        <f ca="1">IF(CD30="","",CONCATENATE(TEXT($O30,"0"),IF(Start.listina!$Y$5="","",TEXT(500+$P30,"000")),TEXT(999999*RAND(),"000000")))</f>
        <v/>
      </c>
      <c r="CF30" s="333">
        <f t="shared" ca="1" si="7"/>
        <v>0</v>
      </c>
    </row>
    <row r="31" spans="1:84" x14ac:dyDescent="0.25">
      <c r="A31" s="333">
        <f>IF(OR(Start.listina!H39&gt;Start.listina!$K$7,Start.listina!G39=TRUE),"",Start.listina!H39)</f>
        <v>29</v>
      </c>
      <c r="B31" s="333">
        <f>IF($A31&gt;Start.listina!$K$7,"",INT(($A31-1)/Start.listina!$O$7)+1)</f>
        <v>2</v>
      </c>
      <c r="C31" s="439" t="str">
        <f>IF(OR(Start.listina!H39&gt;Start.listina!$K$7,Start.listina!G39=TRUE)," - ",Start.listina!AL39)</f>
        <v>29 SKP Kulová osma - Pilát Petr</v>
      </c>
      <c r="D31" s="333">
        <f>IF(OR(A31&gt;Start.listina!$K$7,TYPE(VLOOKUP(A31,$V$3:$X$130,3,0))&gt;3),"",VLOOKUP(A31,$V$3:$X$130,3,0))</f>
        <v>30</v>
      </c>
      <c r="E31" s="440">
        <f ca="1">IF(A31&gt;Start.listina!$K$7,"",IF(MIN(F31:K31)&gt;Start.listina!$Y$4,D31,MIN(F31:K31)))</f>
        <v>30</v>
      </c>
      <c r="F31" s="333">
        <f ca="1">IF(TYPE(VLOOKUP(C31,Konečné_pořadí_1_16!$B$2:$D$17,3,0))&lt;4,VLOOKUP(C31,Konečné_pořadí_1_16!$B$2:$D$17,3,0),999)</f>
        <v>999</v>
      </c>
      <c r="G31" s="333">
        <f ca="1">IF(TYPE(VLOOKUP(C31,'KO64'!$D$4:$D$129,1,0))&lt;4,64,999)</f>
        <v>999</v>
      </c>
      <c r="H31" s="333">
        <f ca="1">IF(TYPE(VLOOKUP(C31,'KO32'!$D$4:$D$65,1,0))&lt;4,32,999)</f>
        <v>999</v>
      </c>
      <c r="I31" s="333">
        <f ca="1">IF(TYPE(VLOOKUP(C31,'KO16'!$D$4:$D$33,1,0))&lt;4,16,999)</f>
        <v>999</v>
      </c>
      <c r="J31" s="333">
        <f ca="1">IF(TYPE(VLOOKUP(C31,'KO8'!$D$4:$D$17,1,0))&lt;4,8,999)</f>
        <v>999</v>
      </c>
      <c r="K31" s="333">
        <f ca="1">IF(TYPE(VLOOKUP(C31,'KO4'!$D$4:$D$9,1,0))&lt;4,4,999)</f>
        <v>999</v>
      </c>
      <c r="M31" s="334">
        <v>29</v>
      </c>
      <c r="O31" s="333">
        <f t="shared" ca="1" si="8"/>
        <v>2</v>
      </c>
      <c r="P31" s="333">
        <f t="shared" ca="1" si="9"/>
        <v>3</v>
      </c>
      <c r="Q31" s="333">
        <f t="shared" ca="1" si="0"/>
        <v>6</v>
      </c>
      <c r="R31" s="333">
        <f t="shared" ca="1" si="1"/>
        <v>2</v>
      </c>
      <c r="S31" s="333">
        <f t="shared" ca="1" si="10"/>
        <v>34</v>
      </c>
      <c r="T31" s="333">
        <f t="shared" ca="1" si="11"/>
        <v>2</v>
      </c>
      <c r="U31" s="415">
        <f t="shared" si="25"/>
        <v>29</v>
      </c>
      <c r="V31" s="415">
        <v>41</v>
      </c>
      <c r="W31" s="441" t="str">
        <f ca="1">IF($V31="","",CONCATENATE(TEXT($O31,"0"),IF(Start.listina!$Y$5="","",TEXT(500+$P31,"0000")),IF(Start.listina!$Y$6="","",CHOOSE(Start.listina!$Y$7,TEXT($Q31,"00"),CONCATENATE(TEXT($Q31,"00"),TEXT($S31,"000")), TEXT($R31,"00"))),TEXT(500+$P31,"0000"),IF(Start.listina!$Y$8="","",TEXT($T31,"0")),TEXT(999999*RAND(),"000000")))</f>
        <v>2060340503856108</v>
      </c>
      <c r="X31" s="417">
        <f t="shared" si="12"/>
        <v>29</v>
      </c>
      <c r="Y31" s="415">
        <f t="shared" ca="1" si="2"/>
        <v>2</v>
      </c>
      <c r="Z31" s="333">
        <f t="shared" ca="1" si="13"/>
        <v>4</v>
      </c>
      <c r="AA31" s="333">
        <f t="shared" ca="1" si="14"/>
        <v>37</v>
      </c>
      <c r="AB31" s="333">
        <f t="shared" ca="1" si="15"/>
        <v>13</v>
      </c>
      <c r="AC31" s="333">
        <f t="shared" ca="1" si="16"/>
        <v>26</v>
      </c>
      <c r="AD31" s="333">
        <f t="shared" ca="1" si="17"/>
        <v>0</v>
      </c>
      <c r="AE31" s="333">
        <f t="shared" ca="1" si="18"/>
        <v>0</v>
      </c>
      <c r="AG31" s="333">
        <f ca="1">IF(TYPE(VLOOKUP($A31,'1.kolo'!$L$3:$L$66,1,0))&gt;3,VLOOKUP($A31,'1.kolo'!$K$3:$L$66,2,0),VLOOKUP($A31,'1.kolo'!$L$3:$O$66,4,0))</f>
        <v>4</v>
      </c>
      <c r="AH31" s="333">
        <f ca="1">IF(TYPE(VLOOKUP($A31,'1.kolo'!$L$3:$L$66,1,0))&gt;3,VLOOKUP($A31,'1.kolo'!$O$3:$Q$66,2,0),VLOOKUP($A31,'1.kolo'!$L$3:$N$66,2,0))</f>
        <v>0</v>
      </c>
      <c r="AI31" s="333">
        <f ca="1">IF(TYPE(VLOOKUP($A31,'1.kolo'!$L$3:$L$66,1,0))&gt;3,VLOOKUP($A31,'1.kolo'!$O$3:$Q$66,3,0),VLOOKUP($A31,'1.kolo'!$L$3:$N$66,3,0))</f>
        <v>-3</v>
      </c>
      <c r="AJ31" s="333">
        <f t="shared" ca="1" si="19"/>
        <v>0</v>
      </c>
      <c r="AK31" s="333">
        <v>29</v>
      </c>
      <c r="AL31" s="442"/>
      <c r="AP31" s="333">
        <f ca="1">IF(TYPE(VLOOKUP($A31,'2.kolo'!$L$3:$L$66,1,0))&gt;3,IF(TYPE(VLOOKUP($A31,'2.kolo'!$K$3:$L$66,2,0))&gt;3,0,VLOOKUP($A31,'2.kolo'!$K$3:$L$66,2,0)),VLOOKUP($A31,'2.kolo'!$L$3:$O$66,4,0))</f>
        <v>37</v>
      </c>
      <c r="AQ31" s="333">
        <f ca="1">IF(TYPE(VLOOKUP($A31,'2.kolo'!$L$3:$L$66,1,0))&gt;3,IF(TYPE(VLOOKUP($A31,'2.kolo'!$O$3:$Q$66,2,0))&gt;3,0,VLOOKUP($A31,'2.kolo'!$O$3:$Q$66,2,0)),VLOOKUP($A31,'2.kolo'!$L$3:$N$66,2,0))</f>
        <v>1</v>
      </c>
      <c r="AR31" s="333">
        <f ca="1">IF(TYPE(VLOOKUP($A31,'2.kolo'!$L$3:$L$66,1,0))&gt;3,IF(TYPE(VLOOKUP($A31,'2.kolo'!$O$3:$Q$66,3,0))&gt;3,0,VLOOKUP($A31,'2.kolo'!$O$3:$Q$66,3,0)),VLOOKUP($A31,'2.kolo'!$L$3:$N$66,3,0))</f>
        <v>6</v>
      </c>
      <c r="AS31" s="333">
        <f t="shared" ca="1" si="20"/>
        <v>1</v>
      </c>
      <c r="AT31" s="415">
        <v>33</v>
      </c>
      <c r="AU31" s="442" t="str">
        <f ca="1">IF(AT31="","",CONCATENATE(TEXT($O31,"0"),IF(Start.listina!$Y$5="","",TEXT(500+$P31,"000")),TEXT(999999*RAND(),"000000")))</f>
        <v>2282097</v>
      </c>
      <c r="AV31" s="333">
        <f t="shared" ca="1" si="3"/>
        <v>0</v>
      </c>
      <c r="AY31" s="333">
        <f ca="1">IF(TYPE(VLOOKUP($A31,'3.kolo'!$L$3:$L$66,1,0))&gt;3,IF(TYPE(VLOOKUP($A31,'3.kolo'!$K$3:$L$66,2,0))&gt;3,0,VLOOKUP($A31,'3.kolo'!$K$3:$L$66,2,0)),VLOOKUP($A31,'3.kolo'!$L$3:$O$66,4,0))</f>
        <v>13</v>
      </c>
      <c r="AZ31" s="333">
        <f ca="1">IF(TYPE(VLOOKUP($A31,'3.kolo'!$L$3:$L$66,1,0))&gt;3,IF(TYPE(VLOOKUP($A31,'3.kolo'!$O$3:$Q$66,2,0))&gt;3,0,VLOOKUP($A31,'3.kolo'!$O$3:$Q$66,2,0)),VLOOKUP($A31,'3.kolo'!$L$3:$N$66,2,0))</f>
        <v>0</v>
      </c>
      <c r="BA31" s="333">
        <f ca="1">IF(TYPE(VLOOKUP($A31,'3.kolo'!$L$3:$L$66,1,0))&gt;3,IF(TYPE(VLOOKUP($A31,'3.kolo'!$O$3:$Q$66,3,0))&gt;3,0,VLOOKUP($A31,'3.kolo'!$O$3:$Q$66,3,0)),VLOOKUP($A31,'3.kolo'!$L$3:$N$66,3,0))</f>
        <v>-1</v>
      </c>
      <c r="BB31" s="333">
        <f t="shared" ca="1" si="21"/>
        <v>0</v>
      </c>
      <c r="BC31" s="415">
        <v>48</v>
      </c>
      <c r="BD31" s="442" t="str">
        <f ca="1">IF(BC31="","",CONCATENATE(TEXT($O31,"0"),IF(Start.listina!$Y$5="","",TEXT(500+$P31,"000")),TEXT(999999*RAND(),"000000")))</f>
        <v>2122347</v>
      </c>
      <c r="BE31" s="333">
        <f t="shared" ca="1" si="4"/>
        <v>0</v>
      </c>
      <c r="BH31" s="333">
        <f ca="1">IF(TYPE(VLOOKUP($A31,'4.kolo'!$L$3:$L$66,1,0))&gt;3,IF(TYPE(VLOOKUP($A31,'4.kolo'!$K$3:$L$66,2,0))&gt;3,0,VLOOKUP($A31,'4.kolo'!$K$3:$L$66,2,0)),VLOOKUP($A31,'4.kolo'!$L$3:$O$66,4,0))</f>
        <v>26</v>
      </c>
      <c r="BI31" s="333">
        <f ca="1">IF(TYPE(VLOOKUP($A31,'4.kolo'!$L$3:$L$66,1,0))&gt;3,IF(TYPE(VLOOKUP($A31,'4.kolo'!$O$3:$Q$66,2,0))&gt;3,0,VLOOKUP($A31,'4.kolo'!$O$3:$Q$66,2,0)),VLOOKUP($A31,'4.kolo'!$L$3:$N$66,2,0))</f>
        <v>1</v>
      </c>
      <c r="BJ31" s="333">
        <f ca="1">IF(TYPE(VLOOKUP($A31,'4.kolo'!$L$3:$L$66,1,0))&gt;3,IF(TYPE(VLOOKUP($A31,'4.kolo'!$O$3:$Q$66,3,0))&gt;3,0,VLOOKUP($A31,'4.kolo'!$O$3:$Q$66,3,0)),VLOOKUP($A31,'4.kolo'!$L$3:$N$66,3,0))</f>
        <v>1</v>
      </c>
      <c r="BK31" s="333">
        <f t="shared" ca="1" si="22"/>
        <v>1</v>
      </c>
      <c r="BL31" s="415">
        <v>23</v>
      </c>
      <c r="BM31" s="442" t="str">
        <f ca="1">IF(BL31="","",CONCATENATE(TEXT($O31,"0"),IF(Start.listina!$Y$5="","",TEXT(500+$P31,"000")),TEXT(999999*RAND(),"000000")))</f>
        <v>2572617</v>
      </c>
      <c r="BN31" s="333">
        <f t="shared" ca="1" si="5"/>
        <v>0</v>
      </c>
      <c r="BQ31" s="333">
        <f ca="1">IF(TYPE(VLOOKUP($A31,'5.kolo'!$L$3:$L$66,1,0))&gt;3,IF(TYPE(VLOOKUP($A31,'5.kolo'!$K$3:$L$66,2,0))&gt;3,0,VLOOKUP($A31,'5.kolo'!$K$3:$L$66,2,0)),VLOOKUP($A31,'5.kolo'!$L$3:$O$66,4,0))</f>
        <v>0</v>
      </c>
      <c r="BR31" s="333">
        <f ca="1">IF(TYPE(VLOOKUP($A31,'5.kolo'!$L$3:$L$66,1,0))&gt;3,IF(TYPE(VLOOKUP($A31,'5.kolo'!$O$3:$Q$66,2,0))&gt;3,0,VLOOKUP($A31,'5.kolo'!$O$3:$Q$66,2,0)),VLOOKUP($A31,'5.kolo'!$L$3:$N$66,2,0))</f>
        <v>0</v>
      </c>
      <c r="BS31" s="333">
        <f ca="1">IF(TYPE(VLOOKUP($A31,'5.kolo'!$L$3:$L$66,1,0))&gt;3,IF(TYPE(VLOOKUP($A31,'5.kolo'!$O$3:$Q$66,3,0))&gt;3,0,VLOOKUP($A31,'5.kolo'!$O$3:$Q$66,3,0)),VLOOKUP($A31,'5.kolo'!$L$3:$N$66,3,0))</f>
        <v>0</v>
      </c>
      <c r="BT31" s="333">
        <f t="shared" ca="1" si="23"/>
        <v>0</v>
      </c>
      <c r="BU31" s="415"/>
      <c r="BV31" s="442" t="str">
        <f ca="1">IF(BU31="","",CONCATENATE(TEXT($O31,"0"),IF(Start.listina!$Y$5="","",TEXT(500+$P31,"000")),TEXT(999999*RAND(),"000000")))</f>
        <v/>
      </c>
      <c r="BW31" s="333">
        <f t="shared" ca="1" si="6"/>
        <v>0</v>
      </c>
      <c r="BZ31" s="333">
        <f ca="1">IF(TYPE(VLOOKUP($A31,'6.kolo'!$L$3:$L$66,1,0))&gt;3,IF(TYPE(VLOOKUP($A31,'6.kolo'!$K$3:$L$66,2,0))&gt;3,0,VLOOKUP($A31,'6.kolo'!$K$3:$L$66,2,0)),VLOOKUP($A31,'6.kolo'!$L$3:$O$66,4,0))</f>
        <v>0</v>
      </c>
      <c r="CA31" s="333">
        <f ca="1">IF(TYPE(VLOOKUP($A31,'6.kolo'!$L$3:$L$66,1,0))&gt;3,IF(TYPE(VLOOKUP($A31,'6.kolo'!$O$3:$Q$66,2,0))&gt;3,0,VLOOKUP($A31,'6.kolo'!$O$3:$Q$66,2,0)),VLOOKUP($A31,'6.kolo'!$L$3:$N$66,2,0))</f>
        <v>0</v>
      </c>
      <c r="CB31" s="333">
        <f ca="1">IF(TYPE(VLOOKUP($A31,'6.kolo'!$L$3:$L$66,1,0))&gt;3,IF(TYPE(VLOOKUP($A31,'6.kolo'!$O$3:$Q$66,3,0))&gt;3,0,VLOOKUP($A31,'6.kolo'!$O$3:$Q$66,3,0)),VLOOKUP($A31,'6.kolo'!$L$3:$N$66,3,0))</f>
        <v>0</v>
      </c>
      <c r="CC31" s="333">
        <f t="shared" ca="1" si="24"/>
        <v>0</v>
      </c>
      <c r="CD31" s="415"/>
      <c r="CE31" s="442" t="str">
        <f ca="1">IF(CD31="","",CONCATENATE(TEXT($O31,"0"),IF(Start.listina!$Y$5="","",TEXT(500+$P31,"000")),TEXT(999999*RAND(),"000000")))</f>
        <v/>
      </c>
      <c r="CF31" s="333">
        <f t="shared" ca="1" si="7"/>
        <v>0</v>
      </c>
    </row>
    <row r="32" spans="1:84" x14ac:dyDescent="0.25">
      <c r="A32" s="333">
        <f>IF(OR(Start.listina!H40&gt;Start.listina!$K$7,Start.listina!G40=TRUE),"",Start.listina!H40)</f>
        <v>30</v>
      </c>
      <c r="B32" s="333">
        <f>IF($A32&gt;Start.listina!$K$7,"",INT(($A32-1)/Start.listina!$O$7)+1)</f>
        <v>2</v>
      </c>
      <c r="C32" s="439" t="str">
        <f>IF(OR(Start.listina!H40&gt;Start.listina!$K$7,Start.listina!G40=TRUE)," - ",Start.listina!AL40)</f>
        <v>30 SKP Kulová osma - Slapnička Václav</v>
      </c>
      <c r="D32" s="333">
        <f>IF(OR(A32&gt;Start.listina!$K$7,TYPE(VLOOKUP(A32,$V$3:$X$130,3,0))&gt;3),"",VLOOKUP(A32,$V$3:$X$130,3,0))</f>
        <v>51</v>
      </c>
      <c r="E32" s="440">
        <f ca="1">IF(A32&gt;Start.listina!$K$7,"",IF(MIN(F32:K32)&gt;Start.listina!$Y$4,D32,MIN(F32:K32)))</f>
        <v>51</v>
      </c>
      <c r="F32" s="333">
        <f ca="1">IF(TYPE(VLOOKUP(C32,Konečné_pořadí_1_16!$B$2:$D$17,3,0))&lt;4,VLOOKUP(C32,Konečné_pořadí_1_16!$B$2:$D$17,3,0),999)</f>
        <v>999</v>
      </c>
      <c r="G32" s="333">
        <f ca="1">IF(TYPE(VLOOKUP(C32,'KO64'!$D$4:$D$129,1,0))&lt;4,64,999)</f>
        <v>999</v>
      </c>
      <c r="H32" s="333">
        <f ca="1">IF(TYPE(VLOOKUP(C32,'KO32'!$D$4:$D$65,1,0))&lt;4,32,999)</f>
        <v>999</v>
      </c>
      <c r="I32" s="333">
        <f ca="1">IF(TYPE(VLOOKUP(C32,'KO16'!$D$4:$D$33,1,0))&lt;4,16,999)</f>
        <v>999</v>
      </c>
      <c r="J32" s="333">
        <f ca="1">IF(TYPE(VLOOKUP(C32,'KO8'!$D$4:$D$17,1,0))&lt;4,8,999)</f>
        <v>999</v>
      </c>
      <c r="K32" s="333">
        <f ca="1">IF(TYPE(VLOOKUP(C32,'KO4'!$D$4:$D$9,1,0))&lt;4,4,999)</f>
        <v>999</v>
      </c>
      <c r="M32" s="334">
        <v>30</v>
      </c>
      <c r="O32" s="333">
        <f t="shared" ca="1" si="8"/>
        <v>0</v>
      </c>
      <c r="P32" s="333">
        <f t="shared" ca="1" si="9"/>
        <v>-14</v>
      </c>
      <c r="Q32" s="333">
        <f t="shared" ca="1" si="0"/>
        <v>7</v>
      </c>
      <c r="R32" s="333">
        <f t="shared" ca="1" si="1"/>
        <v>0</v>
      </c>
      <c r="S32" s="333">
        <f t="shared" ca="1" si="10"/>
        <v>27</v>
      </c>
      <c r="T32" s="333">
        <f t="shared" ca="1" si="11"/>
        <v>0</v>
      </c>
      <c r="U32" s="415">
        <f t="shared" si="25"/>
        <v>30</v>
      </c>
      <c r="V32" s="415">
        <v>29</v>
      </c>
      <c r="W32" s="441" t="str">
        <f ca="1">IF($V32="","",CONCATENATE(TEXT($O32,"0"),IF(Start.listina!$Y$5="","",TEXT(500+$P32,"0000")),IF(Start.listina!$Y$6="","",CHOOSE(Start.listina!$Y$7,TEXT($Q32,"00"),CONCATENATE(TEXT($Q32,"00"),TEXT($S32,"000")), TEXT($R32,"00"))),TEXT(500+$P32,"0000"),IF(Start.listina!$Y$8="","",TEXT($T32,"0")),TEXT(999999*RAND(),"000000")))</f>
        <v>0070270486808343</v>
      </c>
      <c r="X32" s="417">
        <f t="shared" si="12"/>
        <v>30</v>
      </c>
      <c r="Y32" s="415">
        <f t="shared" ca="1" si="2"/>
        <v>2</v>
      </c>
      <c r="Z32" s="333">
        <f t="shared" ca="1" si="13"/>
        <v>5</v>
      </c>
      <c r="AA32" s="333">
        <f t="shared" ca="1" si="14"/>
        <v>28</v>
      </c>
      <c r="AB32" s="333">
        <f t="shared" ca="1" si="15"/>
        <v>41</v>
      </c>
      <c r="AC32" s="333">
        <f t="shared" ca="1" si="16"/>
        <v>18</v>
      </c>
      <c r="AD32" s="333">
        <f t="shared" ca="1" si="17"/>
        <v>0</v>
      </c>
      <c r="AE32" s="333">
        <f t="shared" ca="1" si="18"/>
        <v>0</v>
      </c>
      <c r="AG32" s="333">
        <f ca="1">IF(TYPE(VLOOKUP($A32,'1.kolo'!$L$3:$L$66,1,0))&gt;3,VLOOKUP($A32,'1.kolo'!$K$3:$L$66,2,0),VLOOKUP($A32,'1.kolo'!$L$3:$O$66,4,0))</f>
        <v>5</v>
      </c>
      <c r="AH32" s="333">
        <f ca="1">IF(TYPE(VLOOKUP($A32,'1.kolo'!$L$3:$L$66,1,0))&gt;3,VLOOKUP($A32,'1.kolo'!$O$3:$Q$66,2,0),VLOOKUP($A32,'1.kolo'!$L$3:$N$66,2,0))</f>
        <v>0</v>
      </c>
      <c r="AI32" s="333">
        <f ca="1">IF(TYPE(VLOOKUP($A32,'1.kolo'!$L$3:$L$66,1,0))&gt;3,VLOOKUP($A32,'1.kolo'!$O$3:$Q$66,3,0),VLOOKUP($A32,'1.kolo'!$L$3:$N$66,3,0))</f>
        <v>-3</v>
      </c>
      <c r="AJ32" s="333">
        <f t="shared" ca="1" si="19"/>
        <v>0</v>
      </c>
      <c r="AK32" s="333">
        <v>30</v>
      </c>
      <c r="AL32" s="442"/>
      <c r="AP32" s="333">
        <f ca="1">IF(TYPE(VLOOKUP($A32,'2.kolo'!$L$3:$L$66,1,0))&gt;3,IF(TYPE(VLOOKUP($A32,'2.kolo'!$K$3:$L$66,2,0))&gt;3,0,VLOOKUP($A32,'2.kolo'!$K$3:$L$66,2,0)),VLOOKUP($A32,'2.kolo'!$L$3:$O$66,4,0))</f>
        <v>28</v>
      </c>
      <c r="AQ32" s="333">
        <f ca="1">IF(TYPE(VLOOKUP($A32,'2.kolo'!$L$3:$L$66,1,0))&gt;3,IF(TYPE(VLOOKUP($A32,'2.kolo'!$O$3:$Q$66,2,0))&gt;3,0,VLOOKUP($A32,'2.kolo'!$O$3:$Q$66,2,0)),VLOOKUP($A32,'2.kolo'!$L$3:$N$66,2,0))</f>
        <v>0</v>
      </c>
      <c r="AR32" s="333">
        <f ca="1">IF(TYPE(VLOOKUP($A32,'2.kolo'!$L$3:$L$66,1,0))&gt;3,IF(TYPE(VLOOKUP($A32,'2.kolo'!$O$3:$Q$66,3,0))&gt;3,0,VLOOKUP($A32,'2.kolo'!$O$3:$Q$66,3,0)),VLOOKUP($A32,'2.kolo'!$L$3:$N$66,3,0))</f>
        <v>-9</v>
      </c>
      <c r="AS32" s="333">
        <f t="shared" ca="1" si="20"/>
        <v>0</v>
      </c>
      <c r="AT32" s="415">
        <v>32</v>
      </c>
      <c r="AU32" s="442" t="str">
        <f ca="1">IF(AT32="","",CONCATENATE(TEXT($O32,"0"),IF(Start.listina!$Y$5="","",TEXT(500+$P32,"000")),TEXT(999999*RAND(),"000000")))</f>
        <v>0653303</v>
      </c>
      <c r="AV32" s="333">
        <f t="shared" ca="1" si="3"/>
        <v>0</v>
      </c>
      <c r="AY32" s="333">
        <f ca="1">IF(TYPE(VLOOKUP($A32,'3.kolo'!$L$3:$L$66,1,0))&gt;3,IF(TYPE(VLOOKUP($A32,'3.kolo'!$K$3:$L$66,2,0))&gt;3,0,VLOOKUP($A32,'3.kolo'!$K$3:$L$66,2,0)),VLOOKUP($A32,'3.kolo'!$L$3:$O$66,4,0))</f>
        <v>41</v>
      </c>
      <c r="AZ32" s="333">
        <f ca="1">IF(TYPE(VLOOKUP($A32,'3.kolo'!$L$3:$L$66,1,0))&gt;3,IF(TYPE(VLOOKUP($A32,'3.kolo'!$O$3:$Q$66,2,0))&gt;3,0,VLOOKUP($A32,'3.kolo'!$O$3:$Q$66,2,0)),VLOOKUP($A32,'3.kolo'!$L$3:$N$66,2,0))</f>
        <v>0</v>
      </c>
      <c r="BA32" s="333">
        <f ca="1">IF(TYPE(VLOOKUP($A32,'3.kolo'!$L$3:$L$66,1,0))&gt;3,IF(TYPE(VLOOKUP($A32,'3.kolo'!$O$3:$Q$66,3,0))&gt;3,0,VLOOKUP($A32,'3.kolo'!$O$3:$Q$66,3,0)),VLOOKUP($A32,'3.kolo'!$L$3:$N$66,3,0))</f>
        <v>-1</v>
      </c>
      <c r="BB32" s="333">
        <f t="shared" ca="1" si="21"/>
        <v>0</v>
      </c>
      <c r="BC32" s="415">
        <v>25</v>
      </c>
      <c r="BD32" s="442" t="str">
        <f ca="1">IF(BC32="","",CONCATENATE(TEXT($O32,"0"),IF(Start.listina!$Y$5="","",TEXT(500+$P32,"000")),TEXT(999999*RAND(),"000000")))</f>
        <v>0244721</v>
      </c>
      <c r="BE32" s="333">
        <f t="shared" ca="1" si="4"/>
        <v>0</v>
      </c>
      <c r="BH32" s="333">
        <f ca="1">IF(TYPE(VLOOKUP($A32,'4.kolo'!$L$3:$L$66,1,0))&gt;3,IF(TYPE(VLOOKUP($A32,'4.kolo'!$K$3:$L$66,2,0))&gt;3,0,VLOOKUP($A32,'4.kolo'!$K$3:$L$66,2,0)),VLOOKUP($A32,'4.kolo'!$L$3:$O$66,4,0))</f>
        <v>18</v>
      </c>
      <c r="BI32" s="333">
        <f ca="1">IF(TYPE(VLOOKUP($A32,'4.kolo'!$L$3:$L$66,1,0))&gt;3,IF(TYPE(VLOOKUP($A32,'4.kolo'!$O$3:$Q$66,2,0))&gt;3,0,VLOOKUP($A32,'4.kolo'!$O$3:$Q$66,2,0)),VLOOKUP($A32,'4.kolo'!$L$3:$N$66,2,0))</f>
        <v>0</v>
      </c>
      <c r="BJ32" s="333">
        <f ca="1">IF(TYPE(VLOOKUP($A32,'4.kolo'!$L$3:$L$66,1,0))&gt;3,IF(TYPE(VLOOKUP($A32,'4.kolo'!$O$3:$Q$66,3,0))&gt;3,0,VLOOKUP($A32,'4.kolo'!$O$3:$Q$66,3,0)),VLOOKUP($A32,'4.kolo'!$L$3:$N$66,3,0))</f>
        <v>-1</v>
      </c>
      <c r="BK32" s="333">
        <f t="shared" ca="1" si="22"/>
        <v>0</v>
      </c>
      <c r="BL32" s="415">
        <v>32</v>
      </c>
      <c r="BM32" s="442" t="str">
        <f ca="1">IF(BL32="","",CONCATENATE(TEXT($O32,"0"),IF(Start.listina!$Y$5="","",TEXT(500+$P32,"000")),TEXT(999999*RAND(),"000000")))</f>
        <v>0908247</v>
      </c>
      <c r="BN32" s="333">
        <f t="shared" ca="1" si="5"/>
        <v>0</v>
      </c>
      <c r="BQ32" s="333">
        <f ca="1">IF(TYPE(VLOOKUP($A32,'5.kolo'!$L$3:$L$66,1,0))&gt;3,IF(TYPE(VLOOKUP($A32,'5.kolo'!$K$3:$L$66,2,0))&gt;3,0,VLOOKUP($A32,'5.kolo'!$K$3:$L$66,2,0)),VLOOKUP($A32,'5.kolo'!$L$3:$O$66,4,0))</f>
        <v>0</v>
      </c>
      <c r="BR32" s="333">
        <f ca="1">IF(TYPE(VLOOKUP($A32,'5.kolo'!$L$3:$L$66,1,0))&gt;3,IF(TYPE(VLOOKUP($A32,'5.kolo'!$O$3:$Q$66,2,0))&gt;3,0,VLOOKUP($A32,'5.kolo'!$O$3:$Q$66,2,0)),VLOOKUP($A32,'5.kolo'!$L$3:$N$66,2,0))</f>
        <v>0</v>
      </c>
      <c r="BS32" s="333">
        <f ca="1">IF(TYPE(VLOOKUP($A32,'5.kolo'!$L$3:$L$66,1,0))&gt;3,IF(TYPE(VLOOKUP($A32,'5.kolo'!$O$3:$Q$66,3,0))&gt;3,0,VLOOKUP($A32,'5.kolo'!$O$3:$Q$66,3,0)),VLOOKUP($A32,'5.kolo'!$L$3:$N$66,3,0))</f>
        <v>0</v>
      </c>
      <c r="BT32" s="333">
        <f t="shared" ca="1" si="23"/>
        <v>0</v>
      </c>
      <c r="BU32" s="415"/>
      <c r="BV32" s="442" t="str">
        <f ca="1">IF(BU32="","",CONCATENATE(TEXT($O32,"0"),IF(Start.listina!$Y$5="","",TEXT(500+$P32,"000")),TEXT(999999*RAND(),"000000")))</f>
        <v/>
      </c>
      <c r="BW32" s="333">
        <f t="shared" ca="1" si="6"/>
        <v>0</v>
      </c>
      <c r="BZ32" s="333">
        <f ca="1">IF(TYPE(VLOOKUP($A32,'6.kolo'!$L$3:$L$66,1,0))&gt;3,IF(TYPE(VLOOKUP($A32,'6.kolo'!$K$3:$L$66,2,0))&gt;3,0,VLOOKUP($A32,'6.kolo'!$K$3:$L$66,2,0)),VLOOKUP($A32,'6.kolo'!$L$3:$O$66,4,0))</f>
        <v>0</v>
      </c>
      <c r="CA32" s="333">
        <f ca="1">IF(TYPE(VLOOKUP($A32,'6.kolo'!$L$3:$L$66,1,0))&gt;3,IF(TYPE(VLOOKUP($A32,'6.kolo'!$O$3:$Q$66,2,0))&gt;3,0,VLOOKUP($A32,'6.kolo'!$O$3:$Q$66,2,0)),VLOOKUP($A32,'6.kolo'!$L$3:$N$66,2,0))</f>
        <v>0</v>
      </c>
      <c r="CB32" s="333">
        <f ca="1">IF(TYPE(VLOOKUP($A32,'6.kolo'!$L$3:$L$66,1,0))&gt;3,IF(TYPE(VLOOKUP($A32,'6.kolo'!$O$3:$Q$66,3,0))&gt;3,0,VLOOKUP($A32,'6.kolo'!$O$3:$Q$66,3,0)),VLOOKUP($A32,'6.kolo'!$L$3:$N$66,3,0))</f>
        <v>0</v>
      </c>
      <c r="CC32" s="333">
        <f t="shared" ca="1" si="24"/>
        <v>0</v>
      </c>
      <c r="CD32" s="415"/>
      <c r="CE32" s="442" t="str">
        <f ca="1">IF(CD32="","",CONCATENATE(TEXT($O32,"0"),IF(Start.listina!$Y$5="","",TEXT(500+$P32,"000")),TEXT(999999*RAND(),"000000")))</f>
        <v/>
      </c>
      <c r="CF32" s="333">
        <f t="shared" ca="1" si="7"/>
        <v>0</v>
      </c>
    </row>
    <row r="33" spans="1:84" x14ac:dyDescent="0.25">
      <c r="A33" s="333">
        <f>IF(OR(Start.listina!H41&gt;Start.listina!$K$7,Start.listina!G41=TRUE),"",Start.listina!H41)</f>
        <v>31</v>
      </c>
      <c r="B33" s="333">
        <f>IF($A33&gt;Start.listina!$K$7,"",INT(($A33-1)/Start.listina!$O$7)+1)</f>
        <v>2</v>
      </c>
      <c r="C33" s="439" t="str">
        <f>IF(OR(Start.listina!H41&gt;Start.listina!$K$7,Start.listina!G41=TRUE)," - ",Start.listina!AL41)</f>
        <v>31 SKP Kulová osma - Koudelková Ema</v>
      </c>
      <c r="D33" s="333">
        <f>IF(OR(A33&gt;Start.listina!$K$7,TYPE(VLOOKUP(A33,$V$3:$X$130,3,0))&gt;3),"",VLOOKUP(A33,$V$3:$X$130,3,0))</f>
        <v>20</v>
      </c>
      <c r="E33" s="440">
        <f ca="1">IF(A33&gt;Start.listina!$K$7,"",IF(MIN(F33:K33)&gt;Start.listina!$Y$4,D33,MIN(F33:K33)))</f>
        <v>20</v>
      </c>
      <c r="F33" s="333">
        <f ca="1">IF(TYPE(VLOOKUP(C33,Konečné_pořadí_1_16!$B$2:$D$17,3,0))&lt;4,VLOOKUP(C33,Konečné_pořadí_1_16!$B$2:$D$17,3,0),999)</f>
        <v>999</v>
      </c>
      <c r="G33" s="333">
        <f ca="1">IF(TYPE(VLOOKUP(C33,'KO64'!$D$4:$D$129,1,0))&lt;4,64,999)</f>
        <v>999</v>
      </c>
      <c r="H33" s="333">
        <f ca="1">IF(TYPE(VLOOKUP(C33,'KO32'!$D$4:$D$65,1,0))&lt;4,32,999)</f>
        <v>999</v>
      </c>
      <c r="I33" s="333">
        <f ca="1">IF(TYPE(VLOOKUP(C33,'KO16'!$D$4:$D$33,1,0))&lt;4,16,999)</f>
        <v>999</v>
      </c>
      <c r="J33" s="333">
        <f ca="1">IF(TYPE(VLOOKUP(C33,'KO8'!$D$4:$D$17,1,0))&lt;4,8,999)</f>
        <v>999</v>
      </c>
      <c r="K33" s="333">
        <f ca="1">IF(TYPE(VLOOKUP(C33,'KO4'!$D$4:$D$9,1,0))&lt;4,4,999)</f>
        <v>999</v>
      </c>
      <c r="M33" s="334">
        <v>31</v>
      </c>
      <c r="O33" s="333">
        <f t="shared" ca="1" si="8"/>
        <v>2</v>
      </c>
      <c r="P33" s="333">
        <f t="shared" ca="1" si="9"/>
        <v>-6</v>
      </c>
      <c r="Q33" s="333">
        <f t="shared" ca="1" si="0"/>
        <v>10</v>
      </c>
      <c r="R33" s="333">
        <f t="shared" ca="1" si="1"/>
        <v>3</v>
      </c>
      <c r="S33" s="333">
        <f t="shared" ca="1" si="10"/>
        <v>36</v>
      </c>
      <c r="T33" s="333">
        <f t="shared" ca="1" si="11"/>
        <v>2</v>
      </c>
      <c r="U33" s="415">
        <f t="shared" si="25"/>
        <v>31</v>
      </c>
      <c r="V33" s="415">
        <v>5</v>
      </c>
      <c r="W33" s="441" t="str">
        <f ca="1">IF($V33="","",CONCATENATE(TEXT($O33,"0"),IF(Start.listina!$Y$5="","",TEXT(500+$P33,"0000")),IF(Start.listina!$Y$6="","",CHOOSE(Start.listina!$Y$7,TEXT($Q33,"00"),CONCATENATE(TEXT($Q33,"00"),TEXT($S33,"000")), TEXT($R33,"00"))),TEXT(500+$P33,"0000"),IF(Start.listina!$Y$8="","",TEXT($T33,"0")),TEXT(999999*RAND(),"000000")))</f>
        <v>2100360494368732</v>
      </c>
      <c r="X33" s="417">
        <f t="shared" si="12"/>
        <v>31</v>
      </c>
      <c r="Y33" s="415">
        <f t="shared" ca="1" si="2"/>
        <v>2</v>
      </c>
      <c r="Z33" s="333">
        <f t="shared" ca="1" si="13"/>
        <v>6</v>
      </c>
      <c r="AA33" s="333">
        <f t="shared" ca="1" si="14"/>
        <v>34</v>
      </c>
      <c r="AB33" s="333">
        <f t="shared" ca="1" si="15"/>
        <v>40</v>
      </c>
      <c r="AC33" s="333">
        <f t="shared" ca="1" si="16"/>
        <v>45</v>
      </c>
      <c r="AD33" s="333">
        <f t="shared" ca="1" si="17"/>
        <v>0</v>
      </c>
      <c r="AE33" s="333">
        <f t="shared" ca="1" si="18"/>
        <v>0</v>
      </c>
      <c r="AG33" s="333">
        <f ca="1">IF(TYPE(VLOOKUP($A33,'1.kolo'!$L$3:$L$66,1,0))&gt;3,VLOOKUP($A33,'1.kolo'!$K$3:$L$66,2,0),VLOOKUP($A33,'1.kolo'!$L$3:$O$66,4,0))</f>
        <v>6</v>
      </c>
      <c r="AH33" s="333">
        <f ca="1">IF(TYPE(VLOOKUP($A33,'1.kolo'!$L$3:$L$66,1,0))&gt;3,VLOOKUP($A33,'1.kolo'!$O$3:$Q$66,2,0),VLOOKUP($A33,'1.kolo'!$L$3:$N$66,2,0))</f>
        <v>0</v>
      </c>
      <c r="AI33" s="333">
        <f ca="1">IF(TYPE(VLOOKUP($A33,'1.kolo'!$L$3:$L$66,1,0))&gt;3,VLOOKUP($A33,'1.kolo'!$O$3:$Q$66,3,0),VLOOKUP($A33,'1.kolo'!$L$3:$N$66,3,0))</f>
        <v>-10</v>
      </c>
      <c r="AJ33" s="333">
        <f t="shared" ca="1" si="19"/>
        <v>0</v>
      </c>
      <c r="AK33" s="333">
        <v>31</v>
      </c>
      <c r="AL33" s="442"/>
      <c r="AP33" s="333">
        <f ca="1">IF(TYPE(VLOOKUP($A33,'2.kolo'!$L$3:$L$66,1,0))&gt;3,IF(TYPE(VLOOKUP($A33,'2.kolo'!$K$3:$L$66,2,0))&gt;3,0,VLOOKUP($A33,'2.kolo'!$K$3:$L$66,2,0)),VLOOKUP($A33,'2.kolo'!$L$3:$O$66,4,0))</f>
        <v>34</v>
      </c>
      <c r="AQ33" s="333">
        <f ca="1">IF(TYPE(VLOOKUP($A33,'2.kolo'!$L$3:$L$66,1,0))&gt;3,IF(TYPE(VLOOKUP($A33,'2.kolo'!$O$3:$Q$66,2,0))&gt;3,0,VLOOKUP($A33,'2.kolo'!$O$3:$Q$66,2,0)),VLOOKUP($A33,'2.kolo'!$L$3:$N$66,2,0))</f>
        <v>1</v>
      </c>
      <c r="AR33" s="333">
        <f ca="1">IF(TYPE(VLOOKUP($A33,'2.kolo'!$L$3:$L$66,1,0))&gt;3,IF(TYPE(VLOOKUP($A33,'2.kolo'!$O$3:$Q$66,3,0))&gt;3,0,VLOOKUP($A33,'2.kolo'!$O$3:$Q$66,3,0)),VLOOKUP($A33,'2.kolo'!$L$3:$N$66,3,0))</f>
        <v>8</v>
      </c>
      <c r="AS33" s="333">
        <f t="shared" ca="1" si="20"/>
        <v>1</v>
      </c>
      <c r="AT33" s="415">
        <v>15</v>
      </c>
      <c r="AU33" s="442" t="str">
        <f ca="1">IF(AT33="","",CONCATENATE(TEXT($O33,"0"),IF(Start.listina!$Y$5="","",TEXT(500+$P33,"000")),TEXT(999999*RAND(),"000000")))</f>
        <v>2637295</v>
      </c>
      <c r="AV33" s="333">
        <f t="shared" ca="1" si="3"/>
        <v>0</v>
      </c>
      <c r="AY33" s="333">
        <f ca="1">IF(TYPE(VLOOKUP($A33,'3.kolo'!$L$3:$L$66,1,0))&gt;3,IF(TYPE(VLOOKUP($A33,'3.kolo'!$K$3:$L$66,2,0))&gt;3,0,VLOOKUP($A33,'3.kolo'!$K$3:$L$66,2,0)),VLOOKUP($A33,'3.kolo'!$L$3:$O$66,4,0))</f>
        <v>40</v>
      </c>
      <c r="AZ33" s="333">
        <f ca="1">IF(TYPE(VLOOKUP($A33,'3.kolo'!$L$3:$L$66,1,0))&gt;3,IF(TYPE(VLOOKUP($A33,'3.kolo'!$O$3:$Q$66,2,0))&gt;3,0,VLOOKUP($A33,'3.kolo'!$O$3:$Q$66,2,0)),VLOOKUP($A33,'3.kolo'!$L$3:$N$66,2,0))</f>
        <v>1</v>
      </c>
      <c r="BA33" s="333">
        <f ca="1">IF(TYPE(VLOOKUP($A33,'3.kolo'!$L$3:$L$66,1,0))&gt;3,IF(TYPE(VLOOKUP($A33,'3.kolo'!$O$3:$Q$66,3,0))&gt;3,0,VLOOKUP($A33,'3.kolo'!$O$3:$Q$66,3,0)),VLOOKUP($A33,'3.kolo'!$L$3:$N$66,3,0))</f>
        <v>3</v>
      </c>
      <c r="BB33" s="333">
        <f t="shared" ca="1" si="21"/>
        <v>1</v>
      </c>
      <c r="BC33" s="415">
        <v>8</v>
      </c>
      <c r="BD33" s="442" t="str">
        <f ca="1">IF(BC33="","",CONCATENATE(TEXT($O33,"0"),IF(Start.listina!$Y$5="","",TEXT(500+$P33,"000")),TEXT(999999*RAND(),"000000")))</f>
        <v>2685834</v>
      </c>
      <c r="BE33" s="333">
        <f t="shared" ca="1" si="4"/>
        <v>0</v>
      </c>
      <c r="BH33" s="333">
        <f ca="1">IF(TYPE(VLOOKUP($A33,'4.kolo'!$L$3:$L$66,1,0))&gt;3,IF(TYPE(VLOOKUP($A33,'4.kolo'!$K$3:$L$66,2,0))&gt;3,0,VLOOKUP($A33,'4.kolo'!$K$3:$L$66,2,0)),VLOOKUP($A33,'4.kolo'!$L$3:$O$66,4,0))</f>
        <v>45</v>
      </c>
      <c r="BI33" s="333">
        <f ca="1">IF(TYPE(VLOOKUP($A33,'4.kolo'!$L$3:$L$66,1,0))&gt;3,IF(TYPE(VLOOKUP($A33,'4.kolo'!$O$3:$Q$66,2,0))&gt;3,0,VLOOKUP($A33,'4.kolo'!$O$3:$Q$66,2,0)),VLOOKUP($A33,'4.kolo'!$L$3:$N$66,2,0))</f>
        <v>0</v>
      </c>
      <c r="BJ33" s="333">
        <f ca="1">IF(TYPE(VLOOKUP($A33,'4.kolo'!$L$3:$L$66,1,0))&gt;3,IF(TYPE(VLOOKUP($A33,'4.kolo'!$O$3:$Q$66,3,0))&gt;3,0,VLOOKUP($A33,'4.kolo'!$O$3:$Q$66,3,0)),VLOOKUP($A33,'4.kolo'!$L$3:$N$66,3,0))</f>
        <v>-7</v>
      </c>
      <c r="BK33" s="333">
        <f t="shared" ca="1" si="22"/>
        <v>0</v>
      </c>
      <c r="BL33" s="415">
        <v>29</v>
      </c>
      <c r="BM33" s="442" t="str">
        <f ca="1">IF(BL33="","",CONCATENATE(TEXT($O33,"0"),IF(Start.listina!$Y$5="","",TEXT(500+$P33,"000")),TEXT(999999*RAND(),"000000")))</f>
        <v>2480008</v>
      </c>
      <c r="BN33" s="333">
        <f t="shared" ca="1" si="5"/>
        <v>0</v>
      </c>
      <c r="BQ33" s="333">
        <f ca="1">IF(TYPE(VLOOKUP($A33,'5.kolo'!$L$3:$L$66,1,0))&gt;3,IF(TYPE(VLOOKUP($A33,'5.kolo'!$K$3:$L$66,2,0))&gt;3,0,VLOOKUP($A33,'5.kolo'!$K$3:$L$66,2,0)),VLOOKUP($A33,'5.kolo'!$L$3:$O$66,4,0))</f>
        <v>0</v>
      </c>
      <c r="BR33" s="333">
        <f ca="1">IF(TYPE(VLOOKUP($A33,'5.kolo'!$L$3:$L$66,1,0))&gt;3,IF(TYPE(VLOOKUP($A33,'5.kolo'!$O$3:$Q$66,2,0))&gt;3,0,VLOOKUP($A33,'5.kolo'!$O$3:$Q$66,2,0)),VLOOKUP($A33,'5.kolo'!$L$3:$N$66,2,0))</f>
        <v>0</v>
      </c>
      <c r="BS33" s="333">
        <f ca="1">IF(TYPE(VLOOKUP($A33,'5.kolo'!$L$3:$L$66,1,0))&gt;3,IF(TYPE(VLOOKUP($A33,'5.kolo'!$O$3:$Q$66,3,0))&gt;3,0,VLOOKUP($A33,'5.kolo'!$O$3:$Q$66,3,0)),VLOOKUP($A33,'5.kolo'!$L$3:$N$66,3,0))</f>
        <v>0</v>
      </c>
      <c r="BT33" s="333">
        <f t="shared" ca="1" si="23"/>
        <v>0</v>
      </c>
      <c r="BU33" s="415"/>
      <c r="BV33" s="442" t="str">
        <f ca="1">IF(BU33="","",CONCATENATE(TEXT($O33,"0"),IF(Start.listina!$Y$5="","",TEXT(500+$P33,"000")),TEXT(999999*RAND(),"000000")))</f>
        <v/>
      </c>
      <c r="BW33" s="333">
        <f t="shared" ca="1" si="6"/>
        <v>0</v>
      </c>
      <c r="BZ33" s="333">
        <f ca="1">IF(TYPE(VLOOKUP($A33,'6.kolo'!$L$3:$L$66,1,0))&gt;3,IF(TYPE(VLOOKUP($A33,'6.kolo'!$K$3:$L$66,2,0))&gt;3,0,VLOOKUP($A33,'6.kolo'!$K$3:$L$66,2,0)),VLOOKUP($A33,'6.kolo'!$L$3:$O$66,4,0))</f>
        <v>0</v>
      </c>
      <c r="CA33" s="333">
        <f ca="1">IF(TYPE(VLOOKUP($A33,'6.kolo'!$L$3:$L$66,1,0))&gt;3,IF(TYPE(VLOOKUP($A33,'6.kolo'!$O$3:$Q$66,2,0))&gt;3,0,VLOOKUP($A33,'6.kolo'!$O$3:$Q$66,2,0)),VLOOKUP($A33,'6.kolo'!$L$3:$N$66,2,0))</f>
        <v>0</v>
      </c>
      <c r="CB33" s="333">
        <f ca="1">IF(TYPE(VLOOKUP($A33,'6.kolo'!$L$3:$L$66,1,0))&gt;3,IF(TYPE(VLOOKUP($A33,'6.kolo'!$O$3:$Q$66,3,0))&gt;3,0,VLOOKUP($A33,'6.kolo'!$O$3:$Q$66,3,0)),VLOOKUP($A33,'6.kolo'!$L$3:$N$66,3,0))</f>
        <v>0</v>
      </c>
      <c r="CC33" s="333">
        <f t="shared" ca="1" si="24"/>
        <v>0</v>
      </c>
      <c r="CD33" s="415"/>
      <c r="CE33" s="442" t="str">
        <f ca="1">IF(CD33="","",CONCATENATE(TEXT($O33,"0"),IF(Start.listina!$Y$5="","",TEXT(500+$P33,"000")),TEXT(999999*RAND(),"000000")))</f>
        <v/>
      </c>
      <c r="CF33" s="333">
        <f t="shared" ca="1" si="7"/>
        <v>0</v>
      </c>
    </row>
    <row r="34" spans="1:84" x14ac:dyDescent="0.25">
      <c r="A34" s="333">
        <f>IF(OR(Start.listina!H42&gt;Start.listina!$K$7,Start.listina!G42=TRUE),"",Start.listina!H42)</f>
        <v>32</v>
      </c>
      <c r="B34" s="333">
        <f>IF($A34&gt;Start.listina!$K$7,"",INT(($A34-1)/Start.listina!$O$7)+1)</f>
        <v>2</v>
      </c>
      <c r="C34" s="439" t="str">
        <f>IF(OR(Start.listina!H42&gt;Start.listina!$K$7,Start.listina!G42=TRUE)," - ",Start.listina!AL42)</f>
        <v>32 Petank Club Praha - Boubínová Vendula</v>
      </c>
      <c r="D34" s="333">
        <f>IF(OR(A34&gt;Start.listina!$K$7,TYPE(VLOOKUP(A34,$V$3:$X$130,3,0))&gt;3),"",VLOOKUP(A34,$V$3:$X$130,3,0))</f>
        <v>38</v>
      </c>
      <c r="E34" s="440">
        <f ca="1">IF(A34&gt;Start.listina!$K$7,"",IF(MIN(F34:K34)&gt;Start.listina!$Y$4,D34,MIN(F34:K34)))</f>
        <v>38</v>
      </c>
      <c r="F34" s="333">
        <f ca="1">IF(TYPE(VLOOKUP(C34,Konečné_pořadí_1_16!$B$2:$D$17,3,0))&lt;4,VLOOKUP(C34,Konečné_pořadí_1_16!$B$2:$D$17,3,0),999)</f>
        <v>999</v>
      </c>
      <c r="G34" s="333">
        <f ca="1">IF(TYPE(VLOOKUP(C34,'KO64'!$D$4:$D$129,1,0))&lt;4,64,999)</f>
        <v>999</v>
      </c>
      <c r="H34" s="333">
        <f ca="1">IF(TYPE(VLOOKUP(C34,'KO32'!$D$4:$D$65,1,0))&lt;4,32,999)</f>
        <v>999</v>
      </c>
      <c r="I34" s="333">
        <f ca="1">IF(TYPE(VLOOKUP(C34,'KO16'!$D$4:$D$33,1,0))&lt;4,16,999)</f>
        <v>999</v>
      </c>
      <c r="J34" s="333">
        <f ca="1">IF(TYPE(VLOOKUP(C34,'KO8'!$D$4:$D$17,1,0))&lt;4,8,999)</f>
        <v>999</v>
      </c>
      <c r="K34" s="333">
        <f ca="1">IF(TYPE(VLOOKUP(C34,'KO4'!$D$4:$D$9,1,0))&lt;4,4,999)</f>
        <v>999</v>
      </c>
      <c r="M34" s="334">
        <v>32</v>
      </c>
      <c r="O34" s="333">
        <f t="shared" ca="1" si="8"/>
        <v>1</v>
      </c>
      <c r="P34" s="333">
        <f t="shared" ca="1" si="9"/>
        <v>-27</v>
      </c>
      <c r="Q34" s="333">
        <f t="shared" ca="1" si="0"/>
        <v>9</v>
      </c>
      <c r="R34" s="333">
        <f t="shared" ca="1" si="1"/>
        <v>1</v>
      </c>
      <c r="S34" s="333">
        <f t="shared" ca="1" si="10"/>
        <v>30</v>
      </c>
      <c r="T34" s="333">
        <f t="shared" ca="1" si="11"/>
        <v>1</v>
      </c>
      <c r="U34" s="415">
        <f t="shared" si="25"/>
        <v>32</v>
      </c>
      <c r="V34" s="415">
        <v>18</v>
      </c>
      <c r="W34" s="441" t="str">
        <f ca="1">IF($V34="","",CONCATENATE(TEXT($O34,"0"),IF(Start.listina!$Y$5="","",TEXT(500+$P34,"0000")),IF(Start.listina!$Y$6="","",CHOOSE(Start.listina!$Y$7,TEXT($Q34,"00"),CONCATENATE(TEXT($Q34,"00"),TEXT($S34,"000")), TEXT($R34,"00"))),TEXT(500+$P34,"0000"),IF(Start.listina!$Y$8="","",TEXT($T34,"0")),TEXT(999999*RAND(),"000000")))</f>
        <v>1090300473100969</v>
      </c>
      <c r="X34" s="417">
        <f t="shared" si="12"/>
        <v>32</v>
      </c>
      <c r="Y34" s="415">
        <f t="shared" ca="1" si="2"/>
        <v>2</v>
      </c>
      <c r="Z34" s="333">
        <f t="shared" ca="1" si="13"/>
        <v>7</v>
      </c>
      <c r="AA34" s="333">
        <f t="shared" ca="1" si="14"/>
        <v>33</v>
      </c>
      <c r="AB34" s="333">
        <f t="shared" ca="1" si="15"/>
        <v>20</v>
      </c>
      <c r="AC34" s="333">
        <f t="shared" ca="1" si="16"/>
        <v>23</v>
      </c>
      <c r="AD34" s="333">
        <f t="shared" ca="1" si="17"/>
        <v>0</v>
      </c>
      <c r="AE34" s="333">
        <f t="shared" ca="1" si="18"/>
        <v>0</v>
      </c>
      <c r="AG34" s="333">
        <f ca="1">IF(TYPE(VLOOKUP($A34,'1.kolo'!$L$3:$L$66,1,0))&gt;3,VLOOKUP($A34,'1.kolo'!$K$3:$L$66,2,0),VLOOKUP($A34,'1.kolo'!$L$3:$O$66,4,0))</f>
        <v>7</v>
      </c>
      <c r="AH34" s="333">
        <f ca="1">IF(TYPE(VLOOKUP($A34,'1.kolo'!$L$3:$L$66,1,0))&gt;3,VLOOKUP($A34,'1.kolo'!$O$3:$Q$66,2,0),VLOOKUP($A34,'1.kolo'!$L$3:$N$66,2,0))</f>
        <v>0</v>
      </c>
      <c r="AI34" s="333">
        <f ca="1">IF(TYPE(VLOOKUP($A34,'1.kolo'!$L$3:$L$66,1,0))&gt;3,VLOOKUP($A34,'1.kolo'!$O$3:$Q$66,3,0),VLOOKUP($A34,'1.kolo'!$L$3:$N$66,3,0))</f>
        <v>-10</v>
      </c>
      <c r="AJ34" s="333">
        <f t="shared" ca="1" si="19"/>
        <v>0</v>
      </c>
      <c r="AK34" s="333">
        <v>32</v>
      </c>
      <c r="AL34" s="442"/>
      <c r="AP34" s="333">
        <f ca="1">IF(TYPE(VLOOKUP($A34,'2.kolo'!$L$3:$L$66,1,0))&gt;3,IF(TYPE(VLOOKUP($A34,'2.kolo'!$K$3:$L$66,2,0))&gt;3,0,VLOOKUP($A34,'2.kolo'!$K$3:$L$66,2,0)),VLOOKUP($A34,'2.kolo'!$L$3:$O$66,4,0))</f>
        <v>33</v>
      </c>
      <c r="AQ34" s="333">
        <f ca="1">IF(TYPE(VLOOKUP($A34,'2.kolo'!$L$3:$L$66,1,0))&gt;3,IF(TYPE(VLOOKUP($A34,'2.kolo'!$O$3:$Q$66,2,0))&gt;3,0,VLOOKUP($A34,'2.kolo'!$O$3:$Q$66,2,0)),VLOOKUP($A34,'2.kolo'!$L$3:$N$66,2,0))</f>
        <v>1</v>
      </c>
      <c r="AR34" s="333">
        <f ca="1">IF(TYPE(VLOOKUP($A34,'2.kolo'!$L$3:$L$66,1,0))&gt;3,IF(TYPE(VLOOKUP($A34,'2.kolo'!$O$3:$Q$66,3,0))&gt;3,0,VLOOKUP($A34,'2.kolo'!$O$3:$Q$66,3,0)),VLOOKUP($A34,'2.kolo'!$L$3:$N$66,3,0))</f>
        <v>1</v>
      </c>
      <c r="AS34" s="333">
        <f t="shared" ca="1" si="20"/>
        <v>1</v>
      </c>
      <c r="AT34" s="415">
        <v>47</v>
      </c>
      <c r="AU34" s="442" t="str">
        <f ca="1">IF(AT34="","",CONCATENATE(TEXT($O34,"0"),IF(Start.listina!$Y$5="","",TEXT(500+$P34,"000")),TEXT(999999*RAND(),"000000")))</f>
        <v>1030744</v>
      </c>
      <c r="AV34" s="333">
        <f t="shared" ca="1" si="3"/>
        <v>0</v>
      </c>
      <c r="AY34" s="333">
        <f ca="1">IF(TYPE(VLOOKUP($A34,'3.kolo'!$L$3:$L$66,1,0))&gt;3,IF(TYPE(VLOOKUP($A34,'3.kolo'!$K$3:$L$66,2,0))&gt;3,0,VLOOKUP($A34,'3.kolo'!$K$3:$L$66,2,0)),VLOOKUP($A34,'3.kolo'!$L$3:$O$66,4,0))</f>
        <v>20</v>
      </c>
      <c r="AZ34" s="333">
        <f ca="1">IF(TYPE(VLOOKUP($A34,'3.kolo'!$L$3:$L$66,1,0))&gt;3,IF(TYPE(VLOOKUP($A34,'3.kolo'!$O$3:$Q$66,2,0))&gt;3,0,VLOOKUP($A34,'3.kolo'!$O$3:$Q$66,2,0)),VLOOKUP($A34,'3.kolo'!$L$3:$N$66,2,0))</f>
        <v>0</v>
      </c>
      <c r="BA34" s="333">
        <f ca="1">IF(TYPE(VLOOKUP($A34,'3.kolo'!$L$3:$L$66,1,0))&gt;3,IF(TYPE(VLOOKUP($A34,'3.kolo'!$O$3:$Q$66,3,0))&gt;3,0,VLOOKUP($A34,'3.kolo'!$O$3:$Q$66,3,0)),VLOOKUP($A34,'3.kolo'!$L$3:$N$66,3,0))</f>
        <v>-9</v>
      </c>
      <c r="BB34" s="333">
        <f t="shared" ca="1" si="21"/>
        <v>0</v>
      </c>
      <c r="BC34" s="415">
        <v>35</v>
      </c>
      <c r="BD34" s="442" t="str">
        <f ca="1">IF(BC34="","",CONCATENATE(TEXT($O34,"0"),IF(Start.listina!$Y$5="","",TEXT(500+$P34,"000")),TEXT(999999*RAND(),"000000")))</f>
        <v>1727521</v>
      </c>
      <c r="BE34" s="333">
        <f t="shared" ca="1" si="4"/>
        <v>0</v>
      </c>
      <c r="BH34" s="333">
        <f ca="1">IF(TYPE(VLOOKUP($A34,'4.kolo'!$L$3:$L$66,1,0))&gt;3,IF(TYPE(VLOOKUP($A34,'4.kolo'!$K$3:$L$66,2,0))&gt;3,0,VLOOKUP($A34,'4.kolo'!$K$3:$L$66,2,0)),VLOOKUP($A34,'4.kolo'!$L$3:$O$66,4,0))</f>
        <v>23</v>
      </c>
      <c r="BI34" s="333">
        <f ca="1">IF(TYPE(VLOOKUP($A34,'4.kolo'!$L$3:$L$66,1,0))&gt;3,IF(TYPE(VLOOKUP($A34,'4.kolo'!$O$3:$Q$66,2,0))&gt;3,0,VLOOKUP($A34,'4.kolo'!$O$3:$Q$66,2,0)),VLOOKUP($A34,'4.kolo'!$L$3:$N$66,2,0))</f>
        <v>0</v>
      </c>
      <c r="BJ34" s="333">
        <f ca="1">IF(TYPE(VLOOKUP($A34,'4.kolo'!$L$3:$L$66,1,0))&gt;3,IF(TYPE(VLOOKUP($A34,'4.kolo'!$O$3:$Q$66,3,0))&gt;3,0,VLOOKUP($A34,'4.kolo'!$O$3:$Q$66,3,0)),VLOOKUP($A34,'4.kolo'!$L$3:$N$66,3,0))</f>
        <v>-9</v>
      </c>
      <c r="BK34" s="333">
        <f t="shared" ca="1" si="22"/>
        <v>0</v>
      </c>
      <c r="BL34" s="415">
        <v>26</v>
      </c>
      <c r="BM34" s="442" t="str">
        <f ca="1">IF(BL34="","",CONCATENATE(TEXT($O34,"0"),IF(Start.listina!$Y$5="","",TEXT(500+$P34,"000")),TEXT(999999*RAND(),"000000")))</f>
        <v>1026353</v>
      </c>
      <c r="BN34" s="333">
        <f t="shared" ca="1" si="5"/>
        <v>0</v>
      </c>
      <c r="BQ34" s="333">
        <f ca="1">IF(TYPE(VLOOKUP($A34,'5.kolo'!$L$3:$L$66,1,0))&gt;3,IF(TYPE(VLOOKUP($A34,'5.kolo'!$K$3:$L$66,2,0))&gt;3,0,VLOOKUP($A34,'5.kolo'!$K$3:$L$66,2,0)),VLOOKUP($A34,'5.kolo'!$L$3:$O$66,4,0))</f>
        <v>0</v>
      </c>
      <c r="BR34" s="333">
        <f ca="1">IF(TYPE(VLOOKUP($A34,'5.kolo'!$L$3:$L$66,1,0))&gt;3,IF(TYPE(VLOOKUP($A34,'5.kolo'!$O$3:$Q$66,2,0))&gt;3,0,VLOOKUP($A34,'5.kolo'!$O$3:$Q$66,2,0)),VLOOKUP($A34,'5.kolo'!$L$3:$N$66,2,0))</f>
        <v>0</v>
      </c>
      <c r="BS34" s="333">
        <f ca="1">IF(TYPE(VLOOKUP($A34,'5.kolo'!$L$3:$L$66,1,0))&gt;3,IF(TYPE(VLOOKUP($A34,'5.kolo'!$O$3:$Q$66,3,0))&gt;3,0,VLOOKUP($A34,'5.kolo'!$O$3:$Q$66,3,0)),VLOOKUP($A34,'5.kolo'!$L$3:$N$66,3,0))</f>
        <v>0</v>
      </c>
      <c r="BT34" s="333">
        <f t="shared" ca="1" si="23"/>
        <v>0</v>
      </c>
      <c r="BU34" s="415"/>
      <c r="BV34" s="442" t="str">
        <f ca="1">IF(BU34="","",CONCATENATE(TEXT($O34,"0"),IF(Start.listina!$Y$5="","",TEXT(500+$P34,"000")),TEXT(999999*RAND(),"000000")))</f>
        <v/>
      </c>
      <c r="BW34" s="333">
        <f t="shared" ca="1" si="6"/>
        <v>0</v>
      </c>
      <c r="BZ34" s="333">
        <f ca="1">IF(TYPE(VLOOKUP($A34,'6.kolo'!$L$3:$L$66,1,0))&gt;3,IF(TYPE(VLOOKUP($A34,'6.kolo'!$K$3:$L$66,2,0))&gt;3,0,VLOOKUP($A34,'6.kolo'!$K$3:$L$66,2,0)),VLOOKUP($A34,'6.kolo'!$L$3:$O$66,4,0))</f>
        <v>0</v>
      </c>
      <c r="CA34" s="333">
        <f ca="1">IF(TYPE(VLOOKUP($A34,'6.kolo'!$L$3:$L$66,1,0))&gt;3,IF(TYPE(VLOOKUP($A34,'6.kolo'!$O$3:$Q$66,2,0))&gt;3,0,VLOOKUP($A34,'6.kolo'!$O$3:$Q$66,2,0)),VLOOKUP($A34,'6.kolo'!$L$3:$N$66,2,0))</f>
        <v>0</v>
      </c>
      <c r="CB34" s="333">
        <f ca="1">IF(TYPE(VLOOKUP($A34,'6.kolo'!$L$3:$L$66,1,0))&gt;3,IF(TYPE(VLOOKUP($A34,'6.kolo'!$O$3:$Q$66,3,0))&gt;3,0,VLOOKUP($A34,'6.kolo'!$O$3:$Q$66,3,0)),VLOOKUP($A34,'6.kolo'!$L$3:$N$66,3,0))</f>
        <v>0</v>
      </c>
      <c r="CC34" s="333">
        <f t="shared" ca="1" si="24"/>
        <v>0</v>
      </c>
      <c r="CD34" s="415"/>
      <c r="CE34" s="442" t="str">
        <f ca="1">IF(CD34="","",CONCATENATE(TEXT($O34,"0"),IF(Start.listina!$Y$5="","",TEXT(500+$P34,"000")),TEXT(999999*RAND(),"000000")))</f>
        <v/>
      </c>
      <c r="CF34" s="333">
        <f t="shared" ca="1" si="7"/>
        <v>0</v>
      </c>
    </row>
    <row r="35" spans="1:84" x14ac:dyDescent="0.25">
      <c r="A35" s="333">
        <f>IF(OR(Start.listina!H43&gt;Start.listina!$K$7,Start.listina!G43=TRUE),"",Start.listina!H43)</f>
        <v>33</v>
      </c>
      <c r="B35" s="333">
        <f>IF($A35&gt;Start.listina!$K$7,"",INT(($A35-1)/Start.listina!$O$7)+1)</f>
        <v>2</v>
      </c>
      <c r="C35" s="439" t="str">
        <f>IF(OR(Start.listina!H43&gt;Start.listina!$K$7,Start.listina!G43=TRUE)," - ",Start.listina!AL43)</f>
        <v>33 CdP Loděnice - Fatka Stanislav ml.</v>
      </c>
      <c r="D35" s="333">
        <f>IF(OR(A35&gt;Start.listina!$K$7,TYPE(VLOOKUP(A35,$V$3:$X$130,3,0))&gt;3),"",VLOOKUP(A35,$V$3:$X$130,3,0))</f>
        <v>48</v>
      </c>
      <c r="E35" s="440">
        <f ca="1">IF(A35&gt;Start.listina!$K$7,"",IF(MIN(F35:K35)&gt;Start.listina!$Y$4,D35,MIN(F35:K35)))</f>
        <v>48</v>
      </c>
      <c r="F35" s="333">
        <f ca="1">IF(TYPE(VLOOKUP(C35,Konečné_pořadí_1_16!$B$2:$D$17,3,0))&lt;4,VLOOKUP(C35,Konečné_pořadí_1_16!$B$2:$D$17,3,0),999)</f>
        <v>999</v>
      </c>
      <c r="G35" s="333">
        <f ca="1">IF(TYPE(VLOOKUP(C35,'KO64'!$D$4:$D$129,1,0))&lt;4,64,999)</f>
        <v>999</v>
      </c>
      <c r="H35" s="333">
        <f ca="1">IF(TYPE(VLOOKUP(C35,'KO32'!$D$4:$D$65,1,0))&lt;4,32,999)</f>
        <v>999</v>
      </c>
      <c r="I35" s="333">
        <f ca="1">IF(TYPE(VLOOKUP(C35,'KO16'!$D$4:$D$33,1,0))&lt;4,16,999)</f>
        <v>999</v>
      </c>
      <c r="J35" s="333">
        <f ca="1">IF(TYPE(VLOOKUP(C35,'KO8'!$D$4:$D$17,1,0))&lt;4,8,999)</f>
        <v>999</v>
      </c>
      <c r="K35" s="333">
        <f ca="1">IF(TYPE(VLOOKUP(C35,'KO4'!$D$4:$D$9,1,0))&lt;4,4,999)</f>
        <v>999</v>
      </c>
      <c r="M35" s="334">
        <v>33</v>
      </c>
      <c r="O35" s="333">
        <f t="shared" ca="1" si="8"/>
        <v>1</v>
      </c>
      <c r="P35" s="333">
        <f t="shared" ca="1" si="9"/>
        <v>-10</v>
      </c>
      <c r="Q35" s="333">
        <f t="shared" ref="Q35:Q66" ca="1" si="26">VLOOKUP($Z35,$A$3:$O$131,15,0)+VLOOKUP($AA35,$A$3:$O$131,15,0)+VLOOKUP($AB35,$A$3:$O$131,15,0)+VLOOKUP($AC35,$A$3:$O$131,15,0)+VLOOKUP($AD35,$A$3:$O$131,15,0)+VLOOKUP($AE35,$A$3:$O$131,15,0)</f>
        <v>4</v>
      </c>
      <c r="R35" s="333">
        <f t="shared" ref="R35:R66" ca="1" si="27">IF(AH35=0,0,VLOOKUP($Z35,$A$3:$O$130,15,0))+IF(AQ35=0,0,VLOOKUP($AA35,$A$3:$O$130,15,0))+IF(AZ35=0,0,VLOOKUP($AB35,$A$3:$O$130,15,0))+IF(BI35=0,0,VLOOKUP($AC35,$A$3:$O$130,15,0))+IF(BR35=0,0,VLOOKUP($AD35,$A$3:$O$130,15,0))+IF(CA35=0,0,VLOOKUP($AE35,$A$3:$O$130,15,0))</f>
        <v>0</v>
      </c>
      <c r="S35" s="333">
        <f t="shared" ca="1" si="10"/>
        <v>27</v>
      </c>
      <c r="T35" s="333">
        <f t="shared" ca="1" si="11"/>
        <v>1</v>
      </c>
      <c r="U35" s="415">
        <f t="shared" si="25"/>
        <v>33</v>
      </c>
      <c r="V35" s="415">
        <v>17</v>
      </c>
      <c r="W35" s="441" t="str">
        <f ca="1">IF($V35="","",CONCATENATE(TEXT($O35,"0"),IF(Start.listina!$Y$5="","",TEXT(500+$P35,"0000")),IF(Start.listina!$Y$6="","",CHOOSE(Start.listina!$Y$7,TEXT($Q35,"00"),CONCATENATE(TEXT($Q35,"00"),TEXT($S35,"000")), TEXT($R35,"00"))),TEXT(500+$P35,"0000"),IF(Start.listina!$Y$8="","",TEXT($T35,"0")),TEXT(999999*RAND(),"000000")))</f>
        <v>1040270490381698</v>
      </c>
      <c r="X35" s="417">
        <f t="shared" si="12"/>
        <v>33</v>
      </c>
      <c r="Y35" s="415">
        <f t="shared" ref="Y35:Y66" ca="1" si="28">IF(TYPE(VLOOKUP(V35,$A$3:$O$130,15,0))&gt;3,0,VLOOKUP(V35,$A$3:$O$130,15,0))</f>
        <v>2</v>
      </c>
      <c r="Z35" s="333">
        <f t="shared" ca="1" si="13"/>
        <v>8</v>
      </c>
      <c r="AA35" s="333">
        <f t="shared" ca="1" si="14"/>
        <v>32</v>
      </c>
      <c r="AB35" s="333">
        <f t="shared" ca="1" si="15"/>
        <v>27</v>
      </c>
      <c r="AC35" s="333" t="str">
        <f t="shared" ca="1" si="16"/>
        <v/>
      </c>
      <c r="AD35" s="333">
        <f t="shared" ca="1" si="17"/>
        <v>0</v>
      </c>
      <c r="AE35" s="333">
        <f t="shared" ca="1" si="18"/>
        <v>0</v>
      </c>
      <c r="AG35" s="333">
        <f ca="1">IF(TYPE(VLOOKUP($A35,'1.kolo'!$L$3:$L$66,1,0))&gt;3,VLOOKUP($A35,'1.kolo'!$K$3:$L$66,2,0),VLOOKUP($A35,'1.kolo'!$L$3:$O$66,4,0))</f>
        <v>8</v>
      </c>
      <c r="AH35" s="333">
        <f ca="1">IF(TYPE(VLOOKUP($A35,'1.kolo'!$L$3:$L$66,1,0))&gt;3,VLOOKUP($A35,'1.kolo'!$O$3:$Q$66,2,0),VLOOKUP($A35,'1.kolo'!$L$3:$N$66,2,0))</f>
        <v>0</v>
      </c>
      <c r="AI35" s="333">
        <f ca="1">IF(TYPE(VLOOKUP($A35,'1.kolo'!$L$3:$L$66,1,0))&gt;3,VLOOKUP($A35,'1.kolo'!$O$3:$Q$66,3,0),VLOOKUP($A35,'1.kolo'!$L$3:$N$66,3,0))</f>
        <v>-5</v>
      </c>
      <c r="AJ35" s="333">
        <f t="shared" ca="1" si="19"/>
        <v>0</v>
      </c>
      <c r="AK35" s="333">
        <v>33</v>
      </c>
      <c r="AL35" s="442"/>
      <c r="AP35" s="333">
        <f ca="1">IF(TYPE(VLOOKUP($A35,'2.kolo'!$L$3:$L$66,1,0))&gt;3,IF(TYPE(VLOOKUP($A35,'2.kolo'!$K$3:$L$66,2,0))&gt;3,0,VLOOKUP($A35,'2.kolo'!$K$3:$L$66,2,0)),VLOOKUP($A35,'2.kolo'!$L$3:$O$66,4,0))</f>
        <v>32</v>
      </c>
      <c r="AQ35" s="333">
        <f ca="1">IF(TYPE(VLOOKUP($A35,'2.kolo'!$L$3:$L$66,1,0))&gt;3,IF(TYPE(VLOOKUP($A35,'2.kolo'!$O$3:$Q$66,2,0))&gt;3,0,VLOOKUP($A35,'2.kolo'!$O$3:$Q$66,2,0)),VLOOKUP($A35,'2.kolo'!$L$3:$N$66,2,0))</f>
        <v>0</v>
      </c>
      <c r="AR35" s="333">
        <f ca="1">IF(TYPE(VLOOKUP($A35,'2.kolo'!$L$3:$L$66,1,0))&gt;3,IF(TYPE(VLOOKUP($A35,'2.kolo'!$O$3:$Q$66,3,0))&gt;3,0,VLOOKUP($A35,'2.kolo'!$O$3:$Q$66,3,0)),VLOOKUP($A35,'2.kolo'!$L$3:$N$66,3,0))</f>
        <v>-1</v>
      </c>
      <c r="AS35" s="333">
        <f t="shared" ca="1" si="20"/>
        <v>0</v>
      </c>
      <c r="AT35" s="415">
        <v>30</v>
      </c>
      <c r="AU35" s="442" t="str">
        <f ca="1">IF(AT35="","",CONCATENATE(TEXT($O35,"0"),IF(Start.listina!$Y$5="","",TEXT(500+$P35,"000")),TEXT(999999*RAND(),"000000")))</f>
        <v>1755788</v>
      </c>
      <c r="AV35" s="333">
        <f t="shared" ref="AV35:AV66" ca="1" si="29">IF(OR(AND(N(AP35)=0,N(AT35)=0),TYPE(MATCH($AA35,$Z35:$Z35,0))&gt;1),0,1)</f>
        <v>0</v>
      </c>
      <c r="AY35" s="333">
        <f ca="1">IF(TYPE(VLOOKUP($A35,'3.kolo'!$L$3:$L$66,1,0))&gt;3,IF(TYPE(VLOOKUP($A35,'3.kolo'!$K$3:$L$66,2,0))&gt;3,0,VLOOKUP($A35,'3.kolo'!$K$3:$L$66,2,0)),VLOOKUP($A35,'3.kolo'!$L$3:$O$66,4,0))</f>
        <v>27</v>
      </c>
      <c r="AZ35" s="333">
        <f ca="1">IF(TYPE(VLOOKUP($A35,'3.kolo'!$L$3:$L$66,1,0))&gt;3,IF(TYPE(VLOOKUP($A35,'3.kolo'!$O$3:$Q$66,2,0))&gt;3,0,VLOOKUP($A35,'3.kolo'!$O$3:$Q$66,2,0)),VLOOKUP($A35,'3.kolo'!$L$3:$N$66,2,0))</f>
        <v>0</v>
      </c>
      <c r="BA35" s="333">
        <f ca="1">IF(TYPE(VLOOKUP($A35,'3.kolo'!$L$3:$L$66,1,0))&gt;3,IF(TYPE(VLOOKUP($A35,'3.kolo'!$O$3:$Q$66,3,0))&gt;3,0,VLOOKUP($A35,'3.kolo'!$O$3:$Q$66,3,0)),VLOOKUP($A35,'3.kolo'!$L$3:$N$66,3,0))</f>
        <v>-10</v>
      </c>
      <c r="BB35" s="333">
        <f t="shared" ca="1" si="21"/>
        <v>0</v>
      </c>
      <c r="BC35" s="415">
        <v>17</v>
      </c>
      <c r="BD35" s="442" t="str">
        <f ca="1">IF(BC35="","",CONCATENATE(TEXT($O35,"0"),IF(Start.listina!$Y$5="","",TEXT(500+$P35,"000")),TEXT(999999*RAND(),"000000")))</f>
        <v>1788487</v>
      </c>
      <c r="BE35" s="333">
        <f t="shared" ref="BE35:BE66" ca="1" si="30">IF(OR(AND(N(AY35)=0,N(BC35)=0),TYPE(MATCH($AB35,$Z35:$AA35,0))&gt;1),0,1)</f>
        <v>0</v>
      </c>
      <c r="BH35" s="333" t="str">
        <f ca="1">IF(TYPE(VLOOKUP($A35,'4.kolo'!$L$3:$L$66,1,0))&gt;3,IF(TYPE(VLOOKUP($A35,'4.kolo'!$K$3:$L$66,2,0))&gt;3,0,VLOOKUP($A35,'4.kolo'!$K$3:$L$66,2,0)),VLOOKUP($A35,'4.kolo'!$L$3:$O$66,4,0))</f>
        <v/>
      </c>
      <c r="BI35" s="333">
        <f ca="1">IF(TYPE(VLOOKUP($A35,'4.kolo'!$L$3:$L$66,1,0))&gt;3,IF(TYPE(VLOOKUP($A35,'4.kolo'!$O$3:$Q$66,2,0))&gt;3,0,VLOOKUP($A35,'4.kolo'!$O$3:$Q$66,2,0)),VLOOKUP($A35,'4.kolo'!$L$3:$N$66,2,0))</f>
        <v>1</v>
      </c>
      <c r="BJ35" s="333">
        <f ca="1">IF(TYPE(VLOOKUP($A35,'4.kolo'!$L$3:$L$66,1,0))&gt;3,IF(TYPE(VLOOKUP($A35,'4.kolo'!$O$3:$Q$66,3,0))&gt;3,0,VLOOKUP($A35,'4.kolo'!$O$3:$Q$66,3,0)),VLOOKUP($A35,'4.kolo'!$L$3:$N$66,3,0))</f>
        <v>6</v>
      </c>
      <c r="BK35" s="333">
        <f t="shared" ca="1" si="22"/>
        <v>1</v>
      </c>
      <c r="BL35" s="415">
        <v>27</v>
      </c>
      <c r="BM35" s="442" t="str">
        <f ca="1">IF(BL35="","",CONCATENATE(TEXT($O35,"0"),IF(Start.listina!$Y$5="","",TEXT(500+$P35,"000")),TEXT(999999*RAND(),"000000")))</f>
        <v>1033444</v>
      </c>
      <c r="BN35" s="333">
        <f t="shared" ref="BN35:BN66" ca="1" si="31">IF(OR(AND(N(BH35)=0,N(BL35)=0),TYPE(MATCH($AC35,$Z35:$AB35,0))&gt;1),0,1)</f>
        <v>0</v>
      </c>
      <c r="BQ35" s="333">
        <f ca="1">IF(TYPE(VLOOKUP($A35,'5.kolo'!$L$3:$L$66,1,0))&gt;3,IF(TYPE(VLOOKUP($A35,'5.kolo'!$K$3:$L$66,2,0))&gt;3,0,VLOOKUP($A35,'5.kolo'!$K$3:$L$66,2,0)),VLOOKUP($A35,'5.kolo'!$L$3:$O$66,4,0))</f>
        <v>0</v>
      </c>
      <c r="BR35" s="333">
        <f ca="1">IF(TYPE(VLOOKUP($A35,'5.kolo'!$L$3:$L$66,1,0))&gt;3,IF(TYPE(VLOOKUP($A35,'5.kolo'!$O$3:$Q$66,2,0))&gt;3,0,VLOOKUP($A35,'5.kolo'!$O$3:$Q$66,2,0)),VLOOKUP($A35,'5.kolo'!$L$3:$N$66,2,0))</f>
        <v>0</v>
      </c>
      <c r="BS35" s="333">
        <f ca="1">IF(TYPE(VLOOKUP($A35,'5.kolo'!$L$3:$L$66,1,0))&gt;3,IF(TYPE(VLOOKUP($A35,'5.kolo'!$O$3:$Q$66,3,0))&gt;3,0,VLOOKUP($A35,'5.kolo'!$O$3:$Q$66,3,0)),VLOOKUP($A35,'5.kolo'!$L$3:$N$66,3,0))</f>
        <v>0</v>
      </c>
      <c r="BT35" s="333">
        <f t="shared" ca="1" si="23"/>
        <v>0</v>
      </c>
      <c r="BU35" s="415"/>
      <c r="BV35" s="442" t="str">
        <f ca="1">IF(BU35="","",CONCATENATE(TEXT($O35,"0"),IF(Start.listina!$Y$5="","",TEXT(500+$P35,"000")),TEXT(999999*RAND(),"000000")))</f>
        <v/>
      </c>
      <c r="BW35" s="333">
        <f t="shared" ref="BW35:BW66" ca="1" si="32">IF(OR(AND(N(BQ35)=0,N(BU35)=0),TYPE(MATCH($AD35,$Z35:$AC35,0))&gt;1),0,1)</f>
        <v>0</v>
      </c>
      <c r="BZ35" s="333">
        <f ca="1">IF(TYPE(VLOOKUP($A35,'6.kolo'!$L$3:$L$66,1,0))&gt;3,IF(TYPE(VLOOKUP($A35,'6.kolo'!$K$3:$L$66,2,0))&gt;3,0,VLOOKUP($A35,'6.kolo'!$K$3:$L$66,2,0)),VLOOKUP($A35,'6.kolo'!$L$3:$O$66,4,0))</f>
        <v>0</v>
      </c>
      <c r="CA35" s="333">
        <f ca="1">IF(TYPE(VLOOKUP($A35,'6.kolo'!$L$3:$L$66,1,0))&gt;3,IF(TYPE(VLOOKUP($A35,'6.kolo'!$O$3:$Q$66,2,0))&gt;3,0,VLOOKUP($A35,'6.kolo'!$O$3:$Q$66,2,0)),VLOOKUP($A35,'6.kolo'!$L$3:$N$66,2,0))</f>
        <v>0</v>
      </c>
      <c r="CB35" s="333">
        <f ca="1">IF(TYPE(VLOOKUP($A35,'6.kolo'!$L$3:$L$66,1,0))&gt;3,IF(TYPE(VLOOKUP($A35,'6.kolo'!$O$3:$Q$66,3,0))&gt;3,0,VLOOKUP($A35,'6.kolo'!$O$3:$Q$66,3,0)),VLOOKUP($A35,'6.kolo'!$L$3:$N$66,3,0))</f>
        <v>0</v>
      </c>
      <c r="CC35" s="333">
        <f t="shared" ca="1" si="24"/>
        <v>0</v>
      </c>
      <c r="CD35" s="415"/>
      <c r="CE35" s="442" t="str">
        <f ca="1">IF(CD35="","",CONCATENATE(TEXT($O35,"0"),IF(Start.listina!$Y$5="","",TEXT(500+$P35,"000")),TEXT(999999*RAND(),"000000")))</f>
        <v/>
      </c>
      <c r="CF35" s="333">
        <f t="shared" ref="CF35:CF66" ca="1" si="33">IF(OR(AND(N(BZ35)=0,N(CD35)=0),TYPE(MATCH($AE35,$Z35:$AD35,0))&gt;1),0,1)</f>
        <v>0</v>
      </c>
    </row>
    <row r="36" spans="1:84" x14ac:dyDescent="0.25">
      <c r="A36" s="333">
        <f>IF(OR(Start.listina!H44&gt;Start.listina!$K$7,Start.listina!G44=TRUE),"",Start.listina!H44)</f>
        <v>34</v>
      </c>
      <c r="B36" s="333">
        <f>IF($A36&gt;Start.listina!$K$7,"",INT(($A36-1)/Start.listina!$O$7)+1)</f>
        <v>2</v>
      </c>
      <c r="C36" s="439" t="str">
        <f>IF(OR(Start.listina!H44&gt;Start.listina!$K$7,Start.listina!G44=TRUE)," - ",Start.listina!AL44)</f>
        <v>34 UBU Únětice - Bayer Milan</v>
      </c>
      <c r="D36" s="333">
        <f>IF(OR(A36&gt;Start.listina!$K$7,TYPE(VLOOKUP(A36,$V$3:$X$130,3,0))&gt;3),"",VLOOKUP(A36,$V$3:$X$130,3,0))</f>
        <v>34</v>
      </c>
      <c r="E36" s="440">
        <f ca="1">IF(A36&gt;Start.listina!$K$7,"",IF(MIN(F36:K36)&gt;Start.listina!$Y$4,D36,MIN(F36:K36)))</f>
        <v>34</v>
      </c>
      <c r="F36" s="333">
        <f ca="1">IF(TYPE(VLOOKUP(C36,Konečné_pořadí_1_16!$B$2:$D$17,3,0))&lt;4,VLOOKUP(C36,Konečné_pořadí_1_16!$B$2:$D$17,3,0),999)</f>
        <v>999</v>
      </c>
      <c r="G36" s="333">
        <f ca="1">IF(TYPE(VLOOKUP(C36,'KO64'!$D$4:$D$129,1,0))&lt;4,64,999)</f>
        <v>999</v>
      </c>
      <c r="H36" s="333">
        <f ca="1">IF(TYPE(VLOOKUP(C36,'KO32'!$D$4:$D$65,1,0))&lt;4,32,999)</f>
        <v>999</v>
      </c>
      <c r="I36" s="333">
        <f ca="1">IF(TYPE(VLOOKUP(C36,'KO16'!$D$4:$D$33,1,0))&lt;4,16,999)</f>
        <v>999</v>
      </c>
      <c r="J36" s="333">
        <f ca="1">IF(TYPE(VLOOKUP(C36,'KO8'!$D$4:$D$17,1,0))&lt;4,8,999)</f>
        <v>999</v>
      </c>
      <c r="K36" s="333">
        <f ca="1">IF(TYPE(VLOOKUP(C36,'KO4'!$D$4:$D$9,1,0))&lt;4,4,999)</f>
        <v>999</v>
      </c>
      <c r="M36" s="334">
        <v>34</v>
      </c>
      <c r="O36" s="333">
        <f t="shared" ca="1" si="8"/>
        <v>2</v>
      </c>
      <c r="P36" s="333">
        <f t="shared" ca="1" si="9"/>
        <v>4</v>
      </c>
      <c r="Q36" s="333">
        <f t="shared" ca="1" si="26"/>
        <v>6</v>
      </c>
      <c r="R36" s="333">
        <f t="shared" ca="1" si="27"/>
        <v>1</v>
      </c>
      <c r="S36" s="333">
        <f t="shared" ca="1" si="10"/>
        <v>30</v>
      </c>
      <c r="T36" s="333">
        <f t="shared" ca="1" si="11"/>
        <v>2</v>
      </c>
      <c r="U36" s="415">
        <f t="shared" si="25"/>
        <v>34</v>
      </c>
      <c r="V36" s="415">
        <v>34</v>
      </c>
      <c r="W36" s="441" t="str">
        <f ca="1">IF($V36="","",CONCATENATE(TEXT($O36,"0"),IF(Start.listina!$Y$5="","",TEXT(500+$P36,"0000")),IF(Start.listina!$Y$6="","",CHOOSE(Start.listina!$Y$7,TEXT($Q36,"00"),CONCATENATE(TEXT($Q36,"00"),TEXT($S36,"000")), TEXT($R36,"00"))),TEXT(500+$P36,"0000"),IF(Start.listina!$Y$8="","",TEXT($T36,"0")),TEXT(999999*RAND(),"000000")))</f>
        <v>2060300504047523</v>
      </c>
      <c r="X36" s="417">
        <f t="shared" si="12"/>
        <v>34</v>
      </c>
      <c r="Y36" s="415">
        <f t="shared" ca="1" si="28"/>
        <v>2</v>
      </c>
      <c r="Z36" s="333">
        <f t="shared" ca="1" si="13"/>
        <v>9</v>
      </c>
      <c r="AA36" s="333">
        <f t="shared" ca="1" si="14"/>
        <v>31</v>
      </c>
      <c r="AB36" s="333" t="str">
        <f t="shared" ca="1" si="15"/>
        <v/>
      </c>
      <c r="AC36" s="333">
        <f t="shared" ca="1" si="16"/>
        <v>38</v>
      </c>
      <c r="AD36" s="333">
        <f t="shared" ca="1" si="17"/>
        <v>0</v>
      </c>
      <c r="AE36" s="333">
        <f t="shared" ca="1" si="18"/>
        <v>0</v>
      </c>
      <c r="AG36" s="333">
        <f ca="1">IF(TYPE(VLOOKUP($A36,'1.kolo'!$L$3:$L$66,1,0))&gt;3,VLOOKUP($A36,'1.kolo'!$K$3:$L$66,2,0),VLOOKUP($A36,'1.kolo'!$L$3:$O$66,4,0))</f>
        <v>9</v>
      </c>
      <c r="AH36" s="333">
        <f ca="1">IF(TYPE(VLOOKUP($A36,'1.kolo'!$L$3:$L$66,1,0))&gt;3,VLOOKUP($A36,'1.kolo'!$O$3:$Q$66,2,0),VLOOKUP($A36,'1.kolo'!$L$3:$N$66,2,0))</f>
        <v>0</v>
      </c>
      <c r="AI36" s="333">
        <f ca="1">IF(TYPE(VLOOKUP($A36,'1.kolo'!$L$3:$L$66,1,0))&gt;3,VLOOKUP($A36,'1.kolo'!$O$3:$Q$66,3,0),VLOOKUP($A36,'1.kolo'!$L$3:$N$66,3,0))</f>
        <v>-1</v>
      </c>
      <c r="AJ36" s="333">
        <f t="shared" ca="1" si="19"/>
        <v>0</v>
      </c>
      <c r="AK36" s="333">
        <v>34</v>
      </c>
      <c r="AL36" s="442"/>
      <c r="AP36" s="333">
        <f ca="1">IF(TYPE(VLOOKUP($A36,'2.kolo'!$L$3:$L$66,1,0))&gt;3,IF(TYPE(VLOOKUP($A36,'2.kolo'!$K$3:$L$66,2,0))&gt;3,0,VLOOKUP($A36,'2.kolo'!$K$3:$L$66,2,0)),VLOOKUP($A36,'2.kolo'!$L$3:$O$66,4,0))</f>
        <v>31</v>
      </c>
      <c r="AQ36" s="333">
        <f ca="1">IF(TYPE(VLOOKUP($A36,'2.kolo'!$L$3:$L$66,1,0))&gt;3,IF(TYPE(VLOOKUP($A36,'2.kolo'!$O$3:$Q$66,2,0))&gt;3,0,VLOOKUP($A36,'2.kolo'!$O$3:$Q$66,2,0)),VLOOKUP($A36,'2.kolo'!$L$3:$N$66,2,0))</f>
        <v>0</v>
      </c>
      <c r="AR36" s="333">
        <f ca="1">IF(TYPE(VLOOKUP($A36,'2.kolo'!$L$3:$L$66,1,0))&gt;3,IF(TYPE(VLOOKUP($A36,'2.kolo'!$O$3:$Q$66,3,0))&gt;3,0,VLOOKUP($A36,'2.kolo'!$O$3:$Q$66,3,0)),VLOOKUP($A36,'2.kolo'!$L$3:$N$66,3,0))</f>
        <v>-8</v>
      </c>
      <c r="AS36" s="333">
        <f t="shared" ca="1" si="20"/>
        <v>0</v>
      </c>
      <c r="AT36" s="415">
        <v>28</v>
      </c>
      <c r="AU36" s="442" t="str">
        <f ca="1">IF(AT36="","",CONCATENATE(TEXT($O36,"0"),IF(Start.listina!$Y$5="","",TEXT(500+$P36,"000")),TEXT(999999*RAND(),"000000")))</f>
        <v>2628336</v>
      </c>
      <c r="AV36" s="333">
        <f t="shared" ca="1" si="29"/>
        <v>0</v>
      </c>
      <c r="AY36" s="333" t="str">
        <f ca="1">IF(TYPE(VLOOKUP($A36,'3.kolo'!$L$3:$L$66,1,0))&gt;3,IF(TYPE(VLOOKUP($A36,'3.kolo'!$K$3:$L$66,2,0))&gt;3,0,VLOOKUP($A36,'3.kolo'!$K$3:$L$66,2,0)),VLOOKUP($A36,'3.kolo'!$L$3:$O$66,4,0))</f>
        <v/>
      </c>
      <c r="AZ36" s="333">
        <f ca="1">IF(TYPE(VLOOKUP($A36,'3.kolo'!$L$3:$L$66,1,0))&gt;3,IF(TYPE(VLOOKUP($A36,'3.kolo'!$O$3:$Q$66,2,0))&gt;3,0,VLOOKUP($A36,'3.kolo'!$O$3:$Q$66,2,0)),VLOOKUP($A36,'3.kolo'!$L$3:$N$66,2,0))</f>
        <v>1</v>
      </c>
      <c r="BA36" s="333">
        <f ca="1">IF(TYPE(VLOOKUP($A36,'3.kolo'!$L$3:$L$66,1,0))&gt;3,IF(TYPE(VLOOKUP($A36,'3.kolo'!$O$3:$Q$66,3,0))&gt;3,0,VLOOKUP($A36,'3.kolo'!$O$3:$Q$66,3,0)),VLOOKUP($A36,'3.kolo'!$L$3:$N$66,3,0))</f>
        <v>6</v>
      </c>
      <c r="BB36" s="333">
        <f t="shared" ca="1" si="21"/>
        <v>1</v>
      </c>
      <c r="BC36" s="415">
        <v>49</v>
      </c>
      <c r="BD36" s="442" t="str">
        <f ca="1">IF(BC36="","",CONCATENATE(TEXT($O36,"0"),IF(Start.listina!$Y$5="","",TEXT(500+$P36,"000")),TEXT(999999*RAND(),"000000")))</f>
        <v>2646679</v>
      </c>
      <c r="BE36" s="333">
        <f t="shared" ca="1" si="30"/>
        <v>0</v>
      </c>
      <c r="BH36" s="333">
        <f ca="1">IF(TYPE(VLOOKUP($A36,'4.kolo'!$L$3:$L$66,1,0))&gt;3,IF(TYPE(VLOOKUP($A36,'4.kolo'!$K$3:$L$66,2,0))&gt;3,0,VLOOKUP($A36,'4.kolo'!$K$3:$L$66,2,0)),VLOOKUP($A36,'4.kolo'!$L$3:$O$66,4,0))</f>
        <v>38</v>
      </c>
      <c r="BI36" s="333">
        <f ca="1">IF(TYPE(VLOOKUP($A36,'4.kolo'!$L$3:$L$66,1,0))&gt;3,IF(TYPE(VLOOKUP($A36,'4.kolo'!$O$3:$Q$66,2,0))&gt;3,0,VLOOKUP($A36,'4.kolo'!$O$3:$Q$66,2,0)),VLOOKUP($A36,'4.kolo'!$L$3:$N$66,2,0))</f>
        <v>1</v>
      </c>
      <c r="BJ36" s="333">
        <f ca="1">IF(TYPE(VLOOKUP($A36,'4.kolo'!$L$3:$L$66,1,0))&gt;3,IF(TYPE(VLOOKUP($A36,'4.kolo'!$O$3:$Q$66,3,0))&gt;3,0,VLOOKUP($A36,'4.kolo'!$O$3:$Q$66,3,0)),VLOOKUP($A36,'4.kolo'!$L$3:$N$66,3,0))</f>
        <v>7</v>
      </c>
      <c r="BK36" s="333">
        <f t="shared" ca="1" si="22"/>
        <v>1</v>
      </c>
      <c r="BL36" s="415">
        <v>51</v>
      </c>
      <c r="BM36" s="442" t="str">
        <f ca="1">IF(BL36="","",CONCATENATE(TEXT($O36,"0"),IF(Start.listina!$Y$5="","",TEXT(500+$P36,"000")),TEXT(999999*RAND(),"000000")))</f>
        <v>2999994</v>
      </c>
      <c r="BN36" s="333">
        <f t="shared" ca="1" si="31"/>
        <v>0</v>
      </c>
      <c r="BQ36" s="333">
        <f ca="1">IF(TYPE(VLOOKUP($A36,'5.kolo'!$L$3:$L$66,1,0))&gt;3,IF(TYPE(VLOOKUP($A36,'5.kolo'!$K$3:$L$66,2,0))&gt;3,0,VLOOKUP($A36,'5.kolo'!$K$3:$L$66,2,0)),VLOOKUP($A36,'5.kolo'!$L$3:$O$66,4,0))</f>
        <v>0</v>
      </c>
      <c r="BR36" s="333">
        <f ca="1">IF(TYPE(VLOOKUP($A36,'5.kolo'!$L$3:$L$66,1,0))&gt;3,IF(TYPE(VLOOKUP($A36,'5.kolo'!$O$3:$Q$66,2,0))&gt;3,0,VLOOKUP($A36,'5.kolo'!$O$3:$Q$66,2,0)),VLOOKUP($A36,'5.kolo'!$L$3:$N$66,2,0))</f>
        <v>0</v>
      </c>
      <c r="BS36" s="333">
        <f ca="1">IF(TYPE(VLOOKUP($A36,'5.kolo'!$L$3:$L$66,1,0))&gt;3,IF(TYPE(VLOOKUP($A36,'5.kolo'!$O$3:$Q$66,3,0))&gt;3,0,VLOOKUP($A36,'5.kolo'!$O$3:$Q$66,3,0)),VLOOKUP($A36,'5.kolo'!$L$3:$N$66,3,0))</f>
        <v>0</v>
      </c>
      <c r="BT36" s="333">
        <f t="shared" ca="1" si="23"/>
        <v>0</v>
      </c>
      <c r="BU36" s="415"/>
      <c r="BV36" s="442" t="str">
        <f ca="1">IF(BU36="","",CONCATENATE(TEXT($O36,"0"),IF(Start.listina!$Y$5="","",TEXT(500+$P36,"000")),TEXT(999999*RAND(),"000000")))</f>
        <v/>
      </c>
      <c r="BW36" s="333">
        <f t="shared" ca="1" si="32"/>
        <v>0</v>
      </c>
      <c r="BZ36" s="333">
        <f ca="1">IF(TYPE(VLOOKUP($A36,'6.kolo'!$L$3:$L$66,1,0))&gt;3,IF(TYPE(VLOOKUP($A36,'6.kolo'!$K$3:$L$66,2,0))&gt;3,0,VLOOKUP($A36,'6.kolo'!$K$3:$L$66,2,0)),VLOOKUP($A36,'6.kolo'!$L$3:$O$66,4,0))</f>
        <v>0</v>
      </c>
      <c r="CA36" s="333">
        <f ca="1">IF(TYPE(VLOOKUP($A36,'6.kolo'!$L$3:$L$66,1,0))&gt;3,IF(TYPE(VLOOKUP($A36,'6.kolo'!$O$3:$Q$66,2,0))&gt;3,0,VLOOKUP($A36,'6.kolo'!$O$3:$Q$66,2,0)),VLOOKUP($A36,'6.kolo'!$L$3:$N$66,2,0))</f>
        <v>0</v>
      </c>
      <c r="CB36" s="333">
        <f ca="1">IF(TYPE(VLOOKUP($A36,'6.kolo'!$L$3:$L$66,1,0))&gt;3,IF(TYPE(VLOOKUP($A36,'6.kolo'!$O$3:$Q$66,3,0))&gt;3,0,VLOOKUP($A36,'6.kolo'!$O$3:$Q$66,3,0)),VLOOKUP($A36,'6.kolo'!$L$3:$N$66,3,0))</f>
        <v>0</v>
      </c>
      <c r="CC36" s="333">
        <f t="shared" ca="1" si="24"/>
        <v>0</v>
      </c>
      <c r="CD36" s="415"/>
      <c r="CE36" s="442" t="str">
        <f ca="1">IF(CD36="","",CONCATENATE(TEXT($O36,"0"),IF(Start.listina!$Y$5="","",TEXT(500+$P36,"000")),TEXT(999999*RAND(),"000000")))</f>
        <v/>
      </c>
      <c r="CF36" s="333">
        <f t="shared" ca="1" si="33"/>
        <v>0</v>
      </c>
    </row>
    <row r="37" spans="1:84" x14ac:dyDescent="0.25">
      <c r="A37" s="333">
        <f>IF(OR(Start.listina!H45&gt;Start.listina!$K$7,Start.listina!G45=TRUE),"",Start.listina!H45)</f>
        <v>35</v>
      </c>
      <c r="B37" s="333">
        <f>IF($A37&gt;Start.listina!$K$7,"",INT(($A37-1)/Start.listina!$O$7)+1)</f>
        <v>2</v>
      </c>
      <c r="C37" s="439" t="str">
        <f>IF(OR(Start.listina!H45&gt;Start.listina!$K$7,Start.listina!G45=TRUE)," - ",Start.listina!AL45)</f>
        <v>35 Spolek Park Grébovka - Nepomucký Jaroslav</v>
      </c>
      <c r="D37" s="333">
        <f>IF(OR(A37&gt;Start.listina!$K$7,TYPE(VLOOKUP(A37,$V$3:$X$130,3,0))&gt;3),"",VLOOKUP(A37,$V$3:$X$130,3,0))</f>
        <v>16</v>
      </c>
      <c r="E37" s="440">
        <f ca="1">IF(A37&gt;Start.listina!$K$7,"",IF(MIN(F37:K37)&gt;Start.listina!$Y$4,D37,MIN(F37:K37)))</f>
        <v>16</v>
      </c>
      <c r="F37" s="333">
        <f ca="1">IF(TYPE(VLOOKUP(C37,Konečné_pořadí_1_16!$B$2:$D$17,3,0))&lt;4,VLOOKUP(C37,Konečné_pořadí_1_16!$B$2:$D$17,3,0),999)</f>
        <v>16</v>
      </c>
      <c r="G37" s="333">
        <f ca="1">IF(TYPE(VLOOKUP(C37,'KO64'!$D$4:$D$129,1,0))&lt;4,64,999)</f>
        <v>64</v>
      </c>
      <c r="H37" s="333">
        <f ca="1">IF(TYPE(VLOOKUP(C37,'KO32'!$D$4:$D$65,1,0))&lt;4,32,999)</f>
        <v>32</v>
      </c>
      <c r="I37" s="333">
        <f ca="1">IF(TYPE(VLOOKUP(C37,'KO16'!$D$4:$D$33,1,0))&lt;4,16,999)</f>
        <v>16</v>
      </c>
      <c r="J37" s="333">
        <f ca="1">IF(TYPE(VLOOKUP(C37,'KO8'!$D$4:$D$17,1,0))&lt;4,8,999)</f>
        <v>999</v>
      </c>
      <c r="K37" s="333">
        <f ca="1">IF(TYPE(VLOOKUP(C37,'KO4'!$D$4:$D$9,1,0))&lt;4,4,999)</f>
        <v>999</v>
      </c>
      <c r="M37" s="334">
        <v>35</v>
      </c>
      <c r="O37" s="333">
        <f t="shared" ca="1" si="8"/>
        <v>3</v>
      </c>
      <c r="P37" s="333">
        <f t="shared" ca="1" si="9"/>
        <v>2</v>
      </c>
      <c r="Q37" s="333">
        <f t="shared" ca="1" si="26"/>
        <v>8</v>
      </c>
      <c r="R37" s="333">
        <f t="shared" ca="1" si="27"/>
        <v>5</v>
      </c>
      <c r="S37" s="333">
        <f t="shared" ca="1" si="10"/>
        <v>31</v>
      </c>
      <c r="T37" s="333">
        <f t="shared" ca="1" si="11"/>
        <v>3</v>
      </c>
      <c r="U37" s="415">
        <f t="shared" si="25"/>
        <v>35</v>
      </c>
      <c r="V37" s="415">
        <v>51</v>
      </c>
      <c r="W37" s="441" t="str">
        <f ca="1">IF($V37="","",CONCATENATE(TEXT($O37,"0"),IF(Start.listina!$Y$5="","",TEXT(500+$P37,"0000")),IF(Start.listina!$Y$6="","",CHOOSE(Start.listina!$Y$7,TEXT($Q37,"00"),CONCATENATE(TEXT($Q37,"00"),TEXT($S37,"000")), TEXT($R37,"00"))),TEXT(500+$P37,"0000"),IF(Start.listina!$Y$8="","",TEXT($T37,"0")),TEXT(999999*RAND(),"000000")))</f>
        <v>3080310502016657</v>
      </c>
      <c r="X37" s="417">
        <f t="shared" si="12"/>
        <v>35</v>
      </c>
      <c r="Y37" s="415">
        <f t="shared" ca="1" si="28"/>
        <v>2</v>
      </c>
      <c r="Z37" s="333">
        <f t="shared" ca="1" si="13"/>
        <v>10</v>
      </c>
      <c r="AA37" s="333">
        <f t="shared" ca="1" si="14"/>
        <v>42</v>
      </c>
      <c r="AB37" s="333">
        <f t="shared" ca="1" si="15"/>
        <v>8</v>
      </c>
      <c r="AC37" s="333">
        <f t="shared" ca="1" si="16"/>
        <v>3</v>
      </c>
      <c r="AD37" s="333">
        <f t="shared" ca="1" si="17"/>
        <v>0</v>
      </c>
      <c r="AE37" s="333">
        <f t="shared" ca="1" si="18"/>
        <v>0</v>
      </c>
      <c r="AG37" s="333">
        <f ca="1">IF(TYPE(VLOOKUP($A37,'1.kolo'!$L$3:$L$66,1,0))&gt;3,VLOOKUP($A37,'1.kolo'!$K$3:$L$66,2,0),VLOOKUP($A37,'1.kolo'!$L$3:$O$66,4,0))</f>
        <v>10</v>
      </c>
      <c r="AH37" s="333">
        <f ca="1">IF(TYPE(VLOOKUP($A37,'1.kolo'!$L$3:$L$66,1,0))&gt;3,VLOOKUP($A37,'1.kolo'!$O$3:$Q$66,2,0),VLOOKUP($A37,'1.kolo'!$L$3:$N$66,2,0))</f>
        <v>0</v>
      </c>
      <c r="AI37" s="333">
        <f ca="1">IF(TYPE(VLOOKUP($A37,'1.kolo'!$L$3:$L$66,1,0))&gt;3,VLOOKUP($A37,'1.kolo'!$O$3:$Q$66,3,0),VLOOKUP($A37,'1.kolo'!$L$3:$N$66,3,0))</f>
        <v>-10</v>
      </c>
      <c r="AJ37" s="333">
        <f t="shared" ca="1" si="19"/>
        <v>0</v>
      </c>
      <c r="AK37" s="333">
        <v>35</v>
      </c>
      <c r="AL37" s="442"/>
      <c r="AP37" s="333">
        <f ca="1">IF(TYPE(VLOOKUP($A37,'2.kolo'!$L$3:$L$66,1,0))&gt;3,IF(TYPE(VLOOKUP($A37,'2.kolo'!$K$3:$L$66,2,0))&gt;3,0,VLOOKUP($A37,'2.kolo'!$K$3:$L$66,2,0)),VLOOKUP($A37,'2.kolo'!$L$3:$O$66,4,0))</f>
        <v>42</v>
      </c>
      <c r="AQ37" s="333">
        <f ca="1">IF(TYPE(VLOOKUP($A37,'2.kolo'!$L$3:$L$66,1,0))&gt;3,IF(TYPE(VLOOKUP($A37,'2.kolo'!$O$3:$Q$66,2,0))&gt;3,0,VLOOKUP($A37,'2.kolo'!$O$3:$Q$66,2,0)),VLOOKUP($A37,'2.kolo'!$L$3:$N$66,2,0))</f>
        <v>1</v>
      </c>
      <c r="AR37" s="333">
        <f ca="1">IF(TYPE(VLOOKUP($A37,'2.kolo'!$L$3:$L$66,1,0))&gt;3,IF(TYPE(VLOOKUP($A37,'2.kolo'!$O$3:$Q$66,3,0))&gt;3,0,VLOOKUP($A37,'2.kolo'!$O$3:$Q$66,3,0)),VLOOKUP($A37,'2.kolo'!$L$3:$N$66,3,0))</f>
        <v>5</v>
      </c>
      <c r="AS37" s="333">
        <f t="shared" ca="1" si="20"/>
        <v>1</v>
      </c>
      <c r="AT37" s="415">
        <v>36</v>
      </c>
      <c r="AU37" s="442" t="str">
        <f ca="1">IF(AT37="","",CONCATENATE(TEXT($O37,"0"),IF(Start.listina!$Y$5="","",TEXT(500+$P37,"000")),TEXT(999999*RAND(),"000000")))</f>
        <v>3671626</v>
      </c>
      <c r="AV37" s="333">
        <f t="shared" ca="1" si="29"/>
        <v>0</v>
      </c>
      <c r="AY37" s="333">
        <f ca="1">IF(TYPE(VLOOKUP($A37,'3.kolo'!$L$3:$L$66,1,0))&gt;3,IF(TYPE(VLOOKUP($A37,'3.kolo'!$K$3:$L$66,2,0))&gt;3,0,VLOOKUP($A37,'3.kolo'!$K$3:$L$66,2,0)),VLOOKUP($A37,'3.kolo'!$L$3:$O$66,4,0))</f>
        <v>8</v>
      </c>
      <c r="AZ37" s="333">
        <f ca="1">IF(TYPE(VLOOKUP($A37,'3.kolo'!$L$3:$L$66,1,0))&gt;3,IF(TYPE(VLOOKUP($A37,'3.kolo'!$O$3:$Q$66,2,0))&gt;3,0,VLOOKUP($A37,'3.kolo'!$O$3:$Q$66,2,0)),VLOOKUP($A37,'3.kolo'!$L$3:$N$66,2,0))</f>
        <v>1</v>
      </c>
      <c r="BA37" s="333">
        <f ca="1">IF(TYPE(VLOOKUP($A37,'3.kolo'!$L$3:$L$66,1,0))&gt;3,IF(TYPE(VLOOKUP($A37,'3.kolo'!$O$3:$Q$66,3,0))&gt;3,0,VLOOKUP($A37,'3.kolo'!$O$3:$Q$66,3,0)),VLOOKUP($A37,'3.kolo'!$L$3:$N$66,3,0))</f>
        <v>3</v>
      </c>
      <c r="BB37" s="333">
        <f t="shared" ca="1" si="21"/>
        <v>1</v>
      </c>
      <c r="BC37" s="415">
        <v>38</v>
      </c>
      <c r="BD37" s="442" t="str">
        <f ca="1">IF(BC37="","",CONCATENATE(TEXT($O37,"0"),IF(Start.listina!$Y$5="","",TEXT(500+$P37,"000")),TEXT(999999*RAND(),"000000")))</f>
        <v>3062982</v>
      </c>
      <c r="BE37" s="333">
        <f t="shared" ca="1" si="30"/>
        <v>0</v>
      </c>
      <c r="BH37" s="333">
        <f ca="1">IF(TYPE(VLOOKUP($A37,'4.kolo'!$L$3:$L$66,1,0))&gt;3,IF(TYPE(VLOOKUP($A37,'4.kolo'!$K$3:$L$66,2,0))&gt;3,0,VLOOKUP($A37,'4.kolo'!$K$3:$L$66,2,0)),VLOOKUP($A37,'4.kolo'!$L$3:$O$66,4,0))</f>
        <v>3</v>
      </c>
      <c r="BI37" s="333">
        <f ca="1">IF(TYPE(VLOOKUP($A37,'4.kolo'!$L$3:$L$66,1,0))&gt;3,IF(TYPE(VLOOKUP($A37,'4.kolo'!$O$3:$Q$66,2,0))&gt;3,0,VLOOKUP($A37,'4.kolo'!$O$3:$Q$66,2,0)),VLOOKUP($A37,'4.kolo'!$L$3:$N$66,2,0))</f>
        <v>1</v>
      </c>
      <c r="BJ37" s="333">
        <f ca="1">IF(TYPE(VLOOKUP($A37,'4.kolo'!$L$3:$L$66,1,0))&gt;3,IF(TYPE(VLOOKUP($A37,'4.kolo'!$O$3:$Q$66,3,0))&gt;3,0,VLOOKUP($A37,'4.kolo'!$O$3:$Q$66,3,0)),VLOOKUP($A37,'4.kolo'!$L$3:$N$66,3,0))</f>
        <v>4</v>
      </c>
      <c r="BK37" s="333">
        <f t="shared" ca="1" si="22"/>
        <v>1</v>
      </c>
      <c r="BL37" s="415">
        <v>5</v>
      </c>
      <c r="BM37" s="442" t="str">
        <f ca="1">IF(BL37="","",CONCATENATE(TEXT($O37,"0"),IF(Start.listina!$Y$5="","",TEXT(500+$P37,"000")),TEXT(999999*RAND(),"000000")))</f>
        <v>3740172</v>
      </c>
      <c r="BN37" s="333">
        <f t="shared" ca="1" si="31"/>
        <v>0</v>
      </c>
      <c r="BQ37" s="333">
        <f ca="1">IF(TYPE(VLOOKUP($A37,'5.kolo'!$L$3:$L$66,1,0))&gt;3,IF(TYPE(VLOOKUP($A37,'5.kolo'!$K$3:$L$66,2,0))&gt;3,0,VLOOKUP($A37,'5.kolo'!$K$3:$L$66,2,0)),VLOOKUP($A37,'5.kolo'!$L$3:$O$66,4,0))</f>
        <v>0</v>
      </c>
      <c r="BR37" s="333">
        <f ca="1">IF(TYPE(VLOOKUP($A37,'5.kolo'!$L$3:$L$66,1,0))&gt;3,IF(TYPE(VLOOKUP($A37,'5.kolo'!$O$3:$Q$66,2,0))&gt;3,0,VLOOKUP($A37,'5.kolo'!$O$3:$Q$66,2,0)),VLOOKUP($A37,'5.kolo'!$L$3:$N$66,2,0))</f>
        <v>0</v>
      </c>
      <c r="BS37" s="333">
        <f ca="1">IF(TYPE(VLOOKUP($A37,'5.kolo'!$L$3:$L$66,1,0))&gt;3,IF(TYPE(VLOOKUP($A37,'5.kolo'!$O$3:$Q$66,3,0))&gt;3,0,VLOOKUP($A37,'5.kolo'!$O$3:$Q$66,3,0)),VLOOKUP($A37,'5.kolo'!$L$3:$N$66,3,0))</f>
        <v>0</v>
      </c>
      <c r="BT37" s="333">
        <f t="shared" ca="1" si="23"/>
        <v>0</v>
      </c>
      <c r="BU37" s="415"/>
      <c r="BV37" s="442" t="str">
        <f ca="1">IF(BU37="","",CONCATENATE(TEXT($O37,"0"),IF(Start.listina!$Y$5="","",TEXT(500+$P37,"000")),TEXT(999999*RAND(),"000000")))</f>
        <v/>
      </c>
      <c r="BW37" s="333">
        <f t="shared" ca="1" si="32"/>
        <v>0</v>
      </c>
      <c r="BZ37" s="333">
        <f ca="1">IF(TYPE(VLOOKUP($A37,'6.kolo'!$L$3:$L$66,1,0))&gt;3,IF(TYPE(VLOOKUP($A37,'6.kolo'!$K$3:$L$66,2,0))&gt;3,0,VLOOKUP($A37,'6.kolo'!$K$3:$L$66,2,0)),VLOOKUP($A37,'6.kolo'!$L$3:$O$66,4,0))</f>
        <v>0</v>
      </c>
      <c r="CA37" s="333">
        <f ca="1">IF(TYPE(VLOOKUP($A37,'6.kolo'!$L$3:$L$66,1,0))&gt;3,IF(TYPE(VLOOKUP($A37,'6.kolo'!$O$3:$Q$66,2,0))&gt;3,0,VLOOKUP($A37,'6.kolo'!$O$3:$Q$66,2,0)),VLOOKUP($A37,'6.kolo'!$L$3:$N$66,2,0))</f>
        <v>0</v>
      </c>
      <c r="CB37" s="333">
        <f ca="1">IF(TYPE(VLOOKUP($A37,'6.kolo'!$L$3:$L$66,1,0))&gt;3,IF(TYPE(VLOOKUP($A37,'6.kolo'!$O$3:$Q$66,3,0))&gt;3,0,VLOOKUP($A37,'6.kolo'!$O$3:$Q$66,3,0)),VLOOKUP($A37,'6.kolo'!$L$3:$N$66,3,0))</f>
        <v>0</v>
      </c>
      <c r="CC37" s="333">
        <f t="shared" ca="1" si="24"/>
        <v>0</v>
      </c>
      <c r="CD37" s="415"/>
      <c r="CE37" s="442" t="str">
        <f ca="1">IF(CD37="","",CONCATENATE(TEXT($O37,"0"),IF(Start.listina!$Y$5="","",TEXT(500+$P37,"000")),TEXT(999999*RAND(),"000000")))</f>
        <v/>
      </c>
      <c r="CF37" s="333">
        <f t="shared" ca="1" si="33"/>
        <v>0</v>
      </c>
    </row>
    <row r="38" spans="1:84" x14ac:dyDescent="0.25">
      <c r="A38" s="333">
        <f>IF(OR(Start.listina!H46&gt;Start.listina!$K$7,Start.listina!G46=TRUE),"",Start.listina!H46)</f>
        <v>36</v>
      </c>
      <c r="B38" s="333">
        <f>IF($A38&gt;Start.listina!$K$7,"",INT(($A38-1)/Start.listina!$O$7)+1)</f>
        <v>2</v>
      </c>
      <c r="C38" s="439" t="str">
        <f>IF(OR(Start.listina!H46&gt;Start.listina!$K$7,Start.listina!G46=TRUE)," - ",Start.listina!AL46)</f>
        <v>36 UBU Únětice - Pflimpflová Alexandra</v>
      </c>
      <c r="D38" s="333">
        <f>IF(OR(A38&gt;Start.listina!$K$7,TYPE(VLOOKUP(A38,$V$3:$X$130,3,0))&gt;3),"",VLOOKUP(A38,$V$3:$X$130,3,0))</f>
        <v>49</v>
      </c>
      <c r="E38" s="440">
        <f ca="1">IF(A38&gt;Start.listina!$K$7,"",IF(MIN(F38:K38)&gt;Start.listina!$Y$4,D38,MIN(F38:K38)))</f>
        <v>49</v>
      </c>
      <c r="F38" s="333">
        <f ca="1">IF(TYPE(VLOOKUP(C38,Konečné_pořadí_1_16!$B$2:$D$17,3,0))&lt;4,VLOOKUP(C38,Konečné_pořadí_1_16!$B$2:$D$17,3,0),999)</f>
        <v>999</v>
      </c>
      <c r="G38" s="333">
        <f ca="1">IF(TYPE(VLOOKUP(C38,'KO64'!$D$4:$D$129,1,0))&lt;4,64,999)</f>
        <v>999</v>
      </c>
      <c r="H38" s="333">
        <f ca="1">IF(TYPE(VLOOKUP(C38,'KO32'!$D$4:$D$65,1,0))&lt;4,32,999)</f>
        <v>999</v>
      </c>
      <c r="I38" s="333">
        <f ca="1">IF(TYPE(VLOOKUP(C38,'KO16'!$D$4:$D$33,1,0))&lt;4,16,999)</f>
        <v>999</v>
      </c>
      <c r="J38" s="333">
        <f ca="1">IF(TYPE(VLOOKUP(C38,'KO8'!$D$4:$D$17,1,0))&lt;4,8,999)</f>
        <v>999</v>
      </c>
      <c r="K38" s="333">
        <f ca="1">IF(TYPE(VLOOKUP(C38,'KO4'!$D$4:$D$9,1,0))&lt;4,4,999)</f>
        <v>999</v>
      </c>
      <c r="M38" s="334">
        <v>36</v>
      </c>
      <c r="O38" s="333">
        <f t="shared" ca="1" si="8"/>
        <v>0</v>
      </c>
      <c r="P38" s="333">
        <f t="shared" ca="1" si="9"/>
        <v>-30</v>
      </c>
      <c r="Q38" s="333">
        <f t="shared" ca="1" si="26"/>
        <v>7</v>
      </c>
      <c r="R38" s="333">
        <f t="shared" ca="1" si="27"/>
        <v>0</v>
      </c>
      <c r="S38" s="333">
        <f t="shared" ca="1" si="10"/>
        <v>28</v>
      </c>
      <c r="T38" s="333">
        <f t="shared" ca="1" si="11"/>
        <v>0</v>
      </c>
      <c r="U38" s="415">
        <f t="shared" si="25"/>
        <v>36</v>
      </c>
      <c r="V38" s="415">
        <v>15</v>
      </c>
      <c r="W38" s="441" t="str">
        <f ca="1">IF($V38="","",CONCATENATE(TEXT($O38,"0"),IF(Start.listina!$Y$5="","",TEXT(500+$P38,"0000")),IF(Start.listina!$Y$6="","",CHOOSE(Start.listina!$Y$7,TEXT($Q38,"00"),CONCATENATE(TEXT($Q38,"00"),TEXT($S38,"000")), TEXT($R38,"00"))),TEXT(500+$P38,"0000"),IF(Start.listina!$Y$8="","",TEXT($T38,"0")),TEXT(999999*RAND(),"000000")))</f>
        <v>0070280470443737</v>
      </c>
      <c r="X38" s="417">
        <f t="shared" si="12"/>
        <v>36</v>
      </c>
      <c r="Y38" s="415">
        <f t="shared" ca="1" si="28"/>
        <v>2</v>
      </c>
      <c r="Z38" s="333">
        <f t="shared" ca="1" si="13"/>
        <v>11</v>
      </c>
      <c r="AA38" s="333">
        <f t="shared" ca="1" si="14"/>
        <v>26</v>
      </c>
      <c r="AB38" s="333">
        <f t="shared" ca="1" si="15"/>
        <v>46</v>
      </c>
      <c r="AC38" s="333">
        <f t="shared" ca="1" si="16"/>
        <v>39</v>
      </c>
      <c r="AD38" s="333">
        <f t="shared" ca="1" si="17"/>
        <v>0</v>
      </c>
      <c r="AE38" s="333">
        <f t="shared" ca="1" si="18"/>
        <v>0</v>
      </c>
      <c r="AG38" s="333">
        <f ca="1">IF(TYPE(VLOOKUP($A38,'1.kolo'!$L$3:$L$66,1,0))&gt;3,VLOOKUP($A38,'1.kolo'!$K$3:$L$66,2,0),VLOOKUP($A38,'1.kolo'!$L$3:$O$66,4,0))</f>
        <v>11</v>
      </c>
      <c r="AH38" s="333">
        <f ca="1">IF(TYPE(VLOOKUP($A38,'1.kolo'!$L$3:$L$66,1,0))&gt;3,VLOOKUP($A38,'1.kolo'!$O$3:$Q$66,2,0),VLOOKUP($A38,'1.kolo'!$L$3:$N$66,2,0))</f>
        <v>0</v>
      </c>
      <c r="AI38" s="333">
        <f ca="1">IF(TYPE(VLOOKUP($A38,'1.kolo'!$L$3:$L$66,1,0))&gt;3,VLOOKUP($A38,'1.kolo'!$O$3:$Q$66,3,0),VLOOKUP($A38,'1.kolo'!$L$3:$N$66,3,0))</f>
        <v>-6</v>
      </c>
      <c r="AJ38" s="333">
        <f t="shared" ca="1" si="19"/>
        <v>0</v>
      </c>
      <c r="AK38" s="333">
        <v>36</v>
      </c>
      <c r="AL38" s="442"/>
      <c r="AP38" s="333">
        <f ca="1">IF(TYPE(VLOOKUP($A38,'2.kolo'!$L$3:$L$66,1,0))&gt;3,IF(TYPE(VLOOKUP($A38,'2.kolo'!$K$3:$L$66,2,0))&gt;3,0,VLOOKUP($A38,'2.kolo'!$K$3:$L$66,2,0)),VLOOKUP($A38,'2.kolo'!$L$3:$O$66,4,0))</f>
        <v>26</v>
      </c>
      <c r="AQ38" s="333">
        <f ca="1">IF(TYPE(VLOOKUP($A38,'2.kolo'!$L$3:$L$66,1,0))&gt;3,IF(TYPE(VLOOKUP($A38,'2.kolo'!$O$3:$Q$66,2,0))&gt;3,0,VLOOKUP($A38,'2.kolo'!$O$3:$Q$66,2,0)),VLOOKUP($A38,'2.kolo'!$L$3:$N$66,2,0))</f>
        <v>0</v>
      </c>
      <c r="AR38" s="333">
        <f ca="1">IF(TYPE(VLOOKUP($A38,'2.kolo'!$L$3:$L$66,1,0))&gt;3,IF(TYPE(VLOOKUP($A38,'2.kolo'!$O$3:$Q$66,3,0))&gt;3,0,VLOOKUP($A38,'2.kolo'!$O$3:$Q$66,3,0)),VLOOKUP($A38,'2.kolo'!$L$3:$N$66,3,0))</f>
        <v>-8</v>
      </c>
      <c r="AS38" s="333">
        <f t="shared" ca="1" si="20"/>
        <v>0</v>
      </c>
      <c r="AT38" s="415">
        <v>26</v>
      </c>
      <c r="AU38" s="442" t="str">
        <f ca="1">IF(AT38="","",CONCATENATE(TEXT($O38,"0"),IF(Start.listina!$Y$5="","",TEXT(500+$P38,"000")),TEXT(999999*RAND(),"000000")))</f>
        <v>0862994</v>
      </c>
      <c r="AV38" s="333">
        <f t="shared" ca="1" si="29"/>
        <v>0</v>
      </c>
      <c r="AY38" s="333">
        <f ca="1">IF(TYPE(VLOOKUP($A38,'3.kolo'!$L$3:$L$66,1,0))&gt;3,IF(TYPE(VLOOKUP($A38,'3.kolo'!$K$3:$L$66,2,0))&gt;3,0,VLOOKUP($A38,'3.kolo'!$K$3:$L$66,2,0)),VLOOKUP($A38,'3.kolo'!$L$3:$O$66,4,0))</f>
        <v>46</v>
      </c>
      <c r="AZ38" s="333">
        <f ca="1">IF(TYPE(VLOOKUP($A38,'3.kolo'!$L$3:$L$66,1,0))&gt;3,IF(TYPE(VLOOKUP($A38,'3.kolo'!$O$3:$Q$66,2,0))&gt;3,0,VLOOKUP($A38,'3.kolo'!$O$3:$Q$66,2,0)),VLOOKUP($A38,'3.kolo'!$L$3:$N$66,2,0))</f>
        <v>0</v>
      </c>
      <c r="BA38" s="333">
        <f ca="1">IF(TYPE(VLOOKUP($A38,'3.kolo'!$L$3:$L$66,1,0))&gt;3,IF(TYPE(VLOOKUP($A38,'3.kolo'!$O$3:$Q$66,3,0))&gt;3,0,VLOOKUP($A38,'3.kolo'!$O$3:$Q$66,3,0)),VLOOKUP($A38,'3.kolo'!$L$3:$N$66,3,0))</f>
        <v>-7</v>
      </c>
      <c r="BB38" s="333">
        <f t="shared" ca="1" si="21"/>
        <v>0</v>
      </c>
      <c r="BC38" s="415">
        <v>44</v>
      </c>
      <c r="BD38" s="442" t="str">
        <f ca="1">IF(BC38="","",CONCATENATE(TEXT($O38,"0"),IF(Start.listina!$Y$5="","",TEXT(500+$P38,"000")),TEXT(999999*RAND(),"000000")))</f>
        <v>0734521</v>
      </c>
      <c r="BE38" s="333">
        <f t="shared" ca="1" si="30"/>
        <v>0</v>
      </c>
      <c r="BH38" s="333">
        <f ca="1">IF(TYPE(VLOOKUP($A38,'4.kolo'!$L$3:$L$66,1,0))&gt;3,IF(TYPE(VLOOKUP($A38,'4.kolo'!$K$3:$L$66,2,0))&gt;3,0,VLOOKUP($A38,'4.kolo'!$K$3:$L$66,2,0)),VLOOKUP($A38,'4.kolo'!$L$3:$O$66,4,0))</f>
        <v>39</v>
      </c>
      <c r="BI38" s="333">
        <f ca="1">IF(TYPE(VLOOKUP($A38,'4.kolo'!$L$3:$L$66,1,0))&gt;3,IF(TYPE(VLOOKUP($A38,'4.kolo'!$O$3:$Q$66,2,0))&gt;3,0,VLOOKUP($A38,'4.kolo'!$O$3:$Q$66,2,0)),VLOOKUP($A38,'4.kolo'!$L$3:$N$66,2,0))</f>
        <v>0</v>
      </c>
      <c r="BJ38" s="333">
        <f ca="1">IF(TYPE(VLOOKUP($A38,'4.kolo'!$L$3:$L$66,1,0))&gt;3,IF(TYPE(VLOOKUP($A38,'4.kolo'!$O$3:$Q$66,3,0))&gt;3,0,VLOOKUP($A38,'4.kolo'!$O$3:$Q$66,3,0)),VLOOKUP($A38,'4.kolo'!$L$3:$N$66,3,0))</f>
        <v>-9</v>
      </c>
      <c r="BK38" s="333">
        <f t="shared" ca="1" si="22"/>
        <v>0</v>
      </c>
      <c r="BL38" s="415">
        <v>28</v>
      </c>
      <c r="BM38" s="442" t="str">
        <f ca="1">IF(BL38="","",CONCATENATE(TEXT($O38,"0"),IF(Start.listina!$Y$5="","",TEXT(500+$P38,"000")),TEXT(999999*RAND(),"000000")))</f>
        <v>0938536</v>
      </c>
      <c r="BN38" s="333">
        <f t="shared" ca="1" si="31"/>
        <v>0</v>
      </c>
      <c r="BQ38" s="333">
        <f ca="1">IF(TYPE(VLOOKUP($A38,'5.kolo'!$L$3:$L$66,1,0))&gt;3,IF(TYPE(VLOOKUP($A38,'5.kolo'!$K$3:$L$66,2,0))&gt;3,0,VLOOKUP($A38,'5.kolo'!$K$3:$L$66,2,0)),VLOOKUP($A38,'5.kolo'!$L$3:$O$66,4,0))</f>
        <v>0</v>
      </c>
      <c r="BR38" s="333">
        <f ca="1">IF(TYPE(VLOOKUP($A38,'5.kolo'!$L$3:$L$66,1,0))&gt;3,IF(TYPE(VLOOKUP($A38,'5.kolo'!$O$3:$Q$66,2,0))&gt;3,0,VLOOKUP($A38,'5.kolo'!$O$3:$Q$66,2,0)),VLOOKUP($A38,'5.kolo'!$L$3:$N$66,2,0))</f>
        <v>0</v>
      </c>
      <c r="BS38" s="333">
        <f ca="1">IF(TYPE(VLOOKUP($A38,'5.kolo'!$L$3:$L$66,1,0))&gt;3,IF(TYPE(VLOOKUP($A38,'5.kolo'!$O$3:$Q$66,3,0))&gt;3,0,VLOOKUP($A38,'5.kolo'!$O$3:$Q$66,3,0)),VLOOKUP($A38,'5.kolo'!$L$3:$N$66,3,0))</f>
        <v>0</v>
      </c>
      <c r="BT38" s="333">
        <f t="shared" ca="1" si="23"/>
        <v>0</v>
      </c>
      <c r="BU38" s="415"/>
      <c r="BV38" s="442" t="str">
        <f ca="1">IF(BU38="","",CONCATENATE(TEXT($O38,"0"),IF(Start.listina!$Y$5="","",TEXT(500+$P38,"000")),TEXT(999999*RAND(),"000000")))</f>
        <v/>
      </c>
      <c r="BW38" s="333">
        <f t="shared" ca="1" si="32"/>
        <v>0</v>
      </c>
      <c r="BZ38" s="333">
        <f ca="1">IF(TYPE(VLOOKUP($A38,'6.kolo'!$L$3:$L$66,1,0))&gt;3,IF(TYPE(VLOOKUP($A38,'6.kolo'!$K$3:$L$66,2,0))&gt;3,0,VLOOKUP($A38,'6.kolo'!$K$3:$L$66,2,0)),VLOOKUP($A38,'6.kolo'!$L$3:$O$66,4,0))</f>
        <v>0</v>
      </c>
      <c r="CA38" s="333">
        <f ca="1">IF(TYPE(VLOOKUP($A38,'6.kolo'!$L$3:$L$66,1,0))&gt;3,IF(TYPE(VLOOKUP($A38,'6.kolo'!$O$3:$Q$66,2,0))&gt;3,0,VLOOKUP($A38,'6.kolo'!$O$3:$Q$66,2,0)),VLOOKUP($A38,'6.kolo'!$L$3:$N$66,2,0))</f>
        <v>0</v>
      </c>
      <c r="CB38" s="333">
        <f ca="1">IF(TYPE(VLOOKUP($A38,'6.kolo'!$L$3:$L$66,1,0))&gt;3,IF(TYPE(VLOOKUP($A38,'6.kolo'!$O$3:$Q$66,3,0))&gt;3,0,VLOOKUP($A38,'6.kolo'!$O$3:$Q$66,3,0)),VLOOKUP($A38,'6.kolo'!$L$3:$N$66,3,0))</f>
        <v>0</v>
      </c>
      <c r="CC38" s="333">
        <f t="shared" ca="1" si="24"/>
        <v>0</v>
      </c>
      <c r="CD38" s="415"/>
      <c r="CE38" s="442" t="str">
        <f ca="1">IF(CD38="","",CONCATENATE(TEXT($O38,"0"),IF(Start.listina!$Y$5="","",TEXT(500+$P38,"000")),TEXT(999999*RAND(),"000000")))</f>
        <v/>
      </c>
      <c r="CF38" s="333">
        <f t="shared" ca="1" si="33"/>
        <v>0</v>
      </c>
    </row>
    <row r="39" spans="1:84" x14ac:dyDescent="0.25">
      <c r="A39" s="333">
        <f>IF(OR(Start.listina!H47&gt;Start.listina!$K$7,Start.listina!G47=TRUE),"",Start.listina!H47)</f>
        <v>37</v>
      </c>
      <c r="B39" s="333">
        <f>IF($A39&gt;Start.listina!$K$7,"",INT(($A39-1)/Start.listina!$O$7)+1)</f>
        <v>2</v>
      </c>
      <c r="C39" s="439" t="str">
        <f>IF(OR(Start.listina!H47&gt;Start.listina!$K$7,Start.listina!G47=TRUE)," - ",Start.listina!AL47)</f>
        <v>37 Club Rodamiento - Moos Daniel</v>
      </c>
      <c r="D39" s="333">
        <f>IF(OR(A39&gt;Start.listina!$K$7,TYPE(VLOOKUP(A39,$V$3:$X$130,3,0))&gt;3),"",VLOOKUP(A39,$V$3:$X$130,3,0))</f>
        <v>45</v>
      </c>
      <c r="E39" s="440">
        <f ca="1">IF(A39&gt;Start.listina!$K$7,"",IF(MIN(F39:K39)&gt;Start.listina!$Y$4,D39,MIN(F39:K39)))</f>
        <v>45</v>
      </c>
      <c r="F39" s="333">
        <f ca="1">IF(TYPE(VLOOKUP(C39,Konečné_pořadí_1_16!$B$2:$D$17,3,0))&lt;4,VLOOKUP(C39,Konečné_pořadí_1_16!$B$2:$D$17,3,0),999)</f>
        <v>999</v>
      </c>
      <c r="G39" s="333">
        <f ca="1">IF(TYPE(VLOOKUP(C39,'KO64'!$D$4:$D$129,1,0))&lt;4,64,999)</f>
        <v>999</v>
      </c>
      <c r="H39" s="333">
        <f ca="1">IF(TYPE(VLOOKUP(C39,'KO32'!$D$4:$D$65,1,0))&lt;4,32,999)</f>
        <v>999</v>
      </c>
      <c r="I39" s="333">
        <f ca="1">IF(TYPE(VLOOKUP(C39,'KO16'!$D$4:$D$33,1,0))&lt;4,16,999)</f>
        <v>999</v>
      </c>
      <c r="J39" s="333">
        <f ca="1">IF(TYPE(VLOOKUP(C39,'KO8'!$D$4:$D$17,1,0))&lt;4,8,999)</f>
        <v>999</v>
      </c>
      <c r="K39" s="333">
        <f ca="1">IF(TYPE(VLOOKUP(C39,'KO4'!$D$4:$D$9,1,0))&lt;4,4,999)</f>
        <v>999</v>
      </c>
      <c r="M39" s="334">
        <v>37</v>
      </c>
      <c r="O39" s="333">
        <f t="shared" ca="1" si="8"/>
        <v>1</v>
      </c>
      <c r="P39" s="333">
        <f t="shared" ca="1" si="9"/>
        <v>-9</v>
      </c>
      <c r="Q39" s="333">
        <f t="shared" ca="1" si="26"/>
        <v>7</v>
      </c>
      <c r="R39" s="333">
        <f t="shared" ca="1" si="27"/>
        <v>0</v>
      </c>
      <c r="S39" s="333">
        <f t="shared" ca="1" si="10"/>
        <v>27</v>
      </c>
      <c r="T39" s="333">
        <f t="shared" ca="1" si="11"/>
        <v>1</v>
      </c>
      <c r="U39" s="415">
        <f t="shared" si="25"/>
        <v>37</v>
      </c>
      <c r="V39" s="415">
        <v>40</v>
      </c>
      <c r="W39" s="441" t="str">
        <f ca="1">IF($V39="","",CONCATENATE(TEXT($O39,"0"),IF(Start.listina!$Y$5="","",TEXT(500+$P39,"0000")),IF(Start.listina!$Y$6="","",CHOOSE(Start.listina!$Y$7,TEXT($Q39,"00"),CONCATENATE(TEXT($Q39,"00"),TEXT($S39,"000")), TEXT($R39,"00"))),TEXT(500+$P39,"0000"),IF(Start.listina!$Y$8="","",TEXT($T39,"0")),TEXT(999999*RAND(),"000000")))</f>
        <v>1070270491349032</v>
      </c>
      <c r="X39" s="417">
        <f t="shared" si="12"/>
        <v>37</v>
      </c>
      <c r="Y39" s="415">
        <f t="shared" ca="1" si="28"/>
        <v>1</v>
      </c>
      <c r="Z39" s="333">
        <f t="shared" ca="1" si="13"/>
        <v>12</v>
      </c>
      <c r="AA39" s="333">
        <f t="shared" ca="1" si="14"/>
        <v>29</v>
      </c>
      <c r="AB39" s="333">
        <f t="shared" ca="1" si="15"/>
        <v>18</v>
      </c>
      <c r="AC39" s="333">
        <f t="shared" ca="1" si="16"/>
        <v>42</v>
      </c>
      <c r="AD39" s="333">
        <f t="shared" ca="1" si="17"/>
        <v>0</v>
      </c>
      <c r="AE39" s="333">
        <f t="shared" ca="1" si="18"/>
        <v>0</v>
      </c>
      <c r="AG39" s="333">
        <f ca="1">IF(TYPE(VLOOKUP($A39,'1.kolo'!$L$3:$L$66,1,0))&gt;3,VLOOKUP($A39,'1.kolo'!$K$3:$L$66,2,0),VLOOKUP($A39,'1.kolo'!$L$3:$O$66,4,0))</f>
        <v>12</v>
      </c>
      <c r="AH39" s="333">
        <f ca="1">IF(TYPE(VLOOKUP($A39,'1.kolo'!$L$3:$L$66,1,0))&gt;3,VLOOKUP($A39,'1.kolo'!$O$3:$Q$66,2,0),VLOOKUP($A39,'1.kolo'!$L$3:$N$66,2,0))</f>
        <v>0</v>
      </c>
      <c r="AI39" s="333">
        <f ca="1">IF(TYPE(VLOOKUP($A39,'1.kolo'!$L$3:$L$66,1,0))&gt;3,VLOOKUP($A39,'1.kolo'!$O$3:$Q$66,3,0),VLOOKUP($A39,'1.kolo'!$L$3:$N$66,3,0))</f>
        <v>-6</v>
      </c>
      <c r="AJ39" s="333">
        <f t="shared" ca="1" si="19"/>
        <v>0</v>
      </c>
      <c r="AK39" s="333">
        <v>37</v>
      </c>
      <c r="AL39" s="442"/>
      <c r="AP39" s="333">
        <f ca="1">IF(TYPE(VLOOKUP($A39,'2.kolo'!$L$3:$L$66,1,0))&gt;3,IF(TYPE(VLOOKUP($A39,'2.kolo'!$K$3:$L$66,2,0))&gt;3,0,VLOOKUP($A39,'2.kolo'!$K$3:$L$66,2,0)),VLOOKUP($A39,'2.kolo'!$L$3:$O$66,4,0))</f>
        <v>29</v>
      </c>
      <c r="AQ39" s="333">
        <f ca="1">IF(TYPE(VLOOKUP($A39,'2.kolo'!$L$3:$L$66,1,0))&gt;3,IF(TYPE(VLOOKUP($A39,'2.kolo'!$O$3:$Q$66,2,0))&gt;3,0,VLOOKUP($A39,'2.kolo'!$O$3:$Q$66,2,0)),VLOOKUP($A39,'2.kolo'!$L$3:$N$66,2,0))</f>
        <v>0</v>
      </c>
      <c r="AR39" s="333">
        <f ca="1">IF(TYPE(VLOOKUP($A39,'2.kolo'!$L$3:$L$66,1,0))&gt;3,IF(TYPE(VLOOKUP($A39,'2.kolo'!$O$3:$Q$66,3,0))&gt;3,0,VLOOKUP($A39,'2.kolo'!$O$3:$Q$66,3,0)),VLOOKUP($A39,'2.kolo'!$L$3:$N$66,3,0))</f>
        <v>-6</v>
      </c>
      <c r="AS39" s="333">
        <f t="shared" ca="1" si="20"/>
        <v>0</v>
      </c>
      <c r="AT39" s="415">
        <v>29</v>
      </c>
      <c r="AU39" s="442" t="str">
        <f ca="1">IF(AT39="","",CONCATENATE(TEXT($O39,"0"),IF(Start.listina!$Y$5="","",TEXT(500+$P39,"000")),TEXT(999999*RAND(),"000000")))</f>
        <v>1831949</v>
      </c>
      <c r="AV39" s="333">
        <f t="shared" ca="1" si="29"/>
        <v>0</v>
      </c>
      <c r="AY39" s="333">
        <f ca="1">IF(TYPE(VLOOKUP($A39,'3.kolo'!$L$3:$L$66,1,0))&gt;3,IF(TYPE(VLOOKUP($A39,'3.kolo'!$K$3:$L$66,2,0))&gt;3,0,VLOOKUP($A39,'3.kolo'!$K$3:$L$66,2,0)),VLOOKUP($A39,'3.kolo'!$L$3:$O$66,4,0))</f>
        <v>18</v>
      </c>
      <c r="AZ39" s="333">
        <f ca="1">IF(TYPE(VLOOKUP($A39,'3.kolo'!$L$3:$L$66,1,0))&gt;3,IF(TYPE(VLOOKUP($A39,'3.kolo'!$O$3:$Q$66,2,0))&gt;3,0,VLOOKUP($A39,'3.kolo'!$O$3:$Q$66,2,0)),VLOOKUP($A39,'3.kolo'!$L$3:$N$66,2,0))</f>
        <v>0</v>
      </c>
      <c r="BA39" s="333">
        <f ca="1">IF(TYPE(VLOOKUP($A39,'3.kolo'!$L$3:$L$66,1,0))&gt;3,IF(TYPE(VLOOKUP($A39,'3.kolo'!$O$3:$Q$66,3,0))&gt;3,0,VLOOKUP($A39,'3.kolo'!$O$3:$Q$66,3,0)),VLOOKUP($A39,'3.kolo'!$L$3:$N$66,3,0))</f>
        <v>-9</v>
      </c>
      <c r="BB39" s="333">
        <f t="shared" ca="1" si="21"/>
        <v>0</v>
      </c>
      <c r="BC39" s="415">
        <v>31</v>
      </c>
      <c r="BD39" s="442" t="str">
        <f ca="1">IF(BC39="","",CONCATENATE(TEXT($O39,"0"),IF(Start.listina!$Y$5="","",TEXT(500+$P39,"000")),TEXT(999999*RAND(),"000000")))</f>
        <v>1820978</v>
      </c>
      <c r="BE39" s="333">
        <f t="shared" ca="1" si="30"/>
        <v>0</v>
      </c>
      <c r="BH39" s="333">
        <f ca="1">IF(TYPE(VLOOKUP($A39,'4.kolo'!$L$3:$L$66,1,0))&gt;3,IF(TYPE(VLOOKUP($A39,'4.kolo'!$K$3:$L$66,2,0))&gt;3,0,VLOOKUP($A39,'4.kolo'!$K$3:$L$66,2,0)),VLOOKUP($A39,'4.kolo'!$L$3:$O$66,4,0))</f>
        <v>42</v>
      </c>
      <c r="BI39" s="333">
        <f ca="1">IF(TYPE(VLOOKUP($A39,'4.kolo'!$L$3:$L$66,1,0))&gt;3,IF(TYPE(VLOOKUP($A39,'4.kolo'!$O$3:$Q$66,2,0))&gt;3,0,VLOOKUP($A39,'4.kolo'!$O$3:$Q$66,2,0)),VLOOKUP($A39,'4.kolo'!$L$3:$N$66,2,0))</f>
        <v>1</v>
      </c>
      <c r="BJ39" s="333">
        <f ca="1">IF(TYPE(VLOOKUP($A39,'4.kolo'!$L$3:$L$66,1,0))&gt;3,IF(TYPE(VLOOKUP($A39,'4.kolo'!$O$3:$Q$66,3,0))&gt;3,0,VLOOKUP($A39,'4.kolo'!$O$3:$Q$66,3,0)),VLOOKUP($A39,'4.kolo'!$L$3:$N$66,3,0))</f>
        <v>12</v>
      </c>
      <c r="BK39" s="333">
        <f t="shared" ca="1" si="22"/>
        <v>1</v>
      </c>
      <c r="BL39" s="415">
        <v>15</v>
      </c>
      <c r="BM39" s="442" t="str">
        <f ca="1">IF(BL39="","",CONCATENATE(TEXT($O39,"0"),IF(Start.listina!$Y$5="","",TEXT(500+$P39,"000")),TEXT(999999*RAND(),"000000")))</f>
        <v>1007379</v>
      </c>
      <c r="BN39" s="333">
        <f t="shared" ca="1" si="31"/>
        <v>0</v>
      </c>
      <c r="BQ39" s="333">
        <f ca="1">IF(TYPE(VLOOKUP($A39,'5.kolo'!$L$3:$L$66,1,0))&gt;3,IF(TYPE(VLOOKUP($A39,'5.kolo'!$K$3:$L$66,2,0))&gt;3,0,VLOOKUP($A39,'5.kolo'!$K$3:$L$66,2,0)),VLOOKUP($A39,'5.kolo'!$L$3:$O$66,4,0))</f>
        <v>0</v>
      </c>
      <c r="BR39" s="333">
        <f ca="1">IF(TYPE(VLOOKUP($A39,'5.kolo'!$L$3:$L$66,1,0))&gt;3,IF(TYPE(VLOOKUP($A39,'5.kolo'!$O$3:$Q$66,2,0))&gt;3,0,VLOOKUP($A39,'5.kolo'!$O$3:$Q$66,2,0)),VLOOKUP($A39,'5.kolo'!$L$3:$N$66,2,0))</f>
        <v>0</v>
      </c>
      <c r="BS39" s="333">
        <f ca="1">IF(TYPE(VLOOKUP($A39,'5.kolo'!$L$3:$L$66,1,0))&gt;3,IF(TYPE(VLOOKUP($A39,'5.kolo'!$O$3:$Q$66,3,0))&gt;3,0,VLOOKUP($A39,'5.kolo'!$O$3:$Q$66,3,0)),VLOOKUP($A39,'5.kolo'!$L$3:$N$66,3,0))</f>
        <v>0</v>
      </c>
      <c r="BT39" s="333">
        <f t="shared" ca="1" si="23"/>
        <v>0</v>
      </c>
      <c r="BU39" s="415"/>
      <c r="BV39" s="442" t="str">
        <f ca="1">IF(BU39="","",CONCATENATE(TEXT($O39,"0"),IF(Start.listina!$Y$5="","",TEXT(500+$P39,"000")),TEXT(999999*RAND(),"000000")))</f>
        <v/>
      </c>
      <c r="BW39" s="333">
        <f t="shared" ca="1" si="32"/>
        <v>0</v>
      </c>
      <c r="BZ39" s="333">
        <f ca="1">IF(TYPE(VLOOKUP($A39,'6.kolo'!$L$3:$L$66,1,0))&gt;3,IF(TYPE(VLOOKUP($A39,'6.kolo'!$K$3:$L$66,2,0))&gt;3,0,VLOOKUP($A39,'6.kolo'!$K$3:$L$66,2,0)),VLOOKUP($A39,'6.kolo'!$L$3:$O$66,4,0))</f>
        <v>0</v>
      </c>
      <c r="CA39" s="333">
        <f ca="1">IF(TYPE(VLOOKUP($A39,'6.kolo'!$L$3:$L$66,1,0))&gt;3,IF(TYPE(VLOOKUP($A39,'6.kolo'!$O$3:$Q$66,2,0))&gt;3,0,VLOOKUP($A39,'6.kolo'!$O$3:$Q$66,2,0)),VLOOKUP($A39,'6.kolo'!$L$3:$N$66,2,0))</f>
        <v>0</v>
      </c>
      <c r="CB39" s="333">
        <f ca="1">IF(TYPE(VLOOKUP($A39,'6.kolo'!$L$3:$L$66,1,0))&gt;3,IF(TYPE(VLOOKUP($A39,'6.kolo'!$O$3:$Q$66,3,0))&gt;3,0,VLOOKUP($A39,'6.kolo'!$O$3:$Q$66,3,0)),VLOOKUP($A39,'6.kolo'!$L$3:$N$66,3,0))</f>
        <v>0</v>
      </c>
      <c r="CC39" s="333">
        <f t="shared" ca="1" si="24"/>
        <v>0</v>
      </c>
      <c r="CD39" s="415"/>
      <c r="CE39" s="442" t="str">
        <f ca="1">IF(CD39="","",CONCATENATE(TEXT($O39,"0"),IF(Start.listina!$Y$5="","",TEXT(500+$P39,"000")),TEXT(999999*RAND(),"000000")))</f>
        <v/>
      </c>
      <c r="CF39" s="333">
        <f t="shared" ca="1" si="33"/>
        <v>0</v>
      </c>
    </row>
    <row r="40" spans="1:84" x14ac:dyDescent="0.25">
      <c r="A40" s="333">
        <f>IF(OR(Start.listina!H48&gt;Start.listina!$K$7,Start.listina!G48=TRUE),"",Start.listina!H48)</f>
        <v>38</v>
      </c>
      <c r="B40" s="333">
        <f>IF($A40&gt;Start.listina!$K$7,"",INT(($A40-1)/Start.listina!$O$7)+1)</f>
        <v>2</v>
      </c>
      <c r="C40" s="439" t="str">
        <f>IF(OR(Start.listina!H48&gt;Start.listina!$K$7,Start.listina!G48=TRUE)," - ",Start.listina!AL48)</f>
        <v>38 JAPKO - Stejskal Petr</v>
      </c>
      <c r="D40" s="333">
        <f>IF(OR(A40&gt;Start.listina!$K$7,TYPE(VLOOKUP(A40,$V$3:$X$130,3,0))&gt;3),"",VLOOKUP(A40,$V$3:$X$130,3,0))</f>
        <v>39</v>
      </c>
      <c r="E40" s="440">
        <f ca="1">IF(A40&gt;Start.listina!$K$7,"",IF(MIN(F40:K40)&gt;Start.listina!$Y$4,D40,MIN(F40:K40)))</f>
        <v>39</v>
      </c>
      <c r="F40" s="333">
        <f ca="1">IF(TYPE(VLOOKUP(C40,Konečné_pořadí_1_16!$B$2:$D$17,3,0))&lt;4,VLOOKUP(C40,Konečné_pořadí_1_16!$B$2:$D$17,3,0),999)</f>
        <v>999</v>
      </c>
      <c r="G40" s="333">
        <f ca="1">IF(TYPE(VLOOKUP(C40,'KO64'!$D$4:$D$129,1,0))&lt;4,64,999)</f>
        <v>999</v>
      </c>
      <c r="H40" s="333">
        <f ca="1">IF(TYPE(VLOOKUP(C40,'KO32'!$D$4:$D$65,1,0))&lt;4,32,999)</f>
        <v>999</v>
      </c>
      <c r="I40" s="333">
        <f ca="1">IF(TYPE(VLOOKUP(C40,'KO16'!$D$4:$D$33,1,0))&lt;4,16,999)</f>
        <v>999</v>
      </c>
      <c r="J40" s="333">
        <f ca="1">IF(TYPE(VLOOKUP(C40,'KO8'!$D$4:$D$17,1,0))&lt;4,8,999)</f>
        <v>999</v>
      </c>
      <c r="K40" s="333">
        <f ca="1">IF(TYPE(VLOOKUP(C40,'KO4'!$D$4:$D$9,1,0))&lt;4,4,999)</f>
        <v>999</v>
      </c>
      <c r="M40" s="334">
        <v>38</v>
      </c>
      <c r="O40" s="333">
        <f t="shared" ca="1" si="8"/>
        <v>1</v>
      </c>
      <c r="P40" s="333">
        <f t="shared" ca="1" si="9"/>
        <v>-8</v>
      </c>
      <c r="Q40" s="333">
        <f t="shared" ca="1" si="26"/>
        <v>8</v>
      </c>
      <c r="R40" s="333">
        <f t="shared" ca="1" si="27"/>
        <v>1</v>
      </c>
      <c r="S40" s="333">
        <f t="shared" ca="1" si="10"/>
        <v>29</v>
      </c>
      <c r="T40" s="333">
        <f t="shared" ca="1" si="11"/>
        <v>1</v>
      </c>
      <c r="U40" s="415">
        <f t="shared" si="25"/>
        <v>38</v>
      </c>
      <c r="V40" s="415">
        <v>32</v>
      </c>
      <c r="W40" s="441" t="str">
        <f ca="1">IF($V40="","",CONCATENATE(TEXT($O40,"0"),IF(Start.listina!$Y$5="","",TEXT(500+$P40,"0000")),IF(Start.listina!$Y$6="","",CHOOSE(Start.listina!$Y$7,TEXT($Q40,"00"),CONCATENATE(TEXT($Q40,"00"),TEXT($S40,"000")), TEXT($R40,"00"))),TEXT(500+$P40,"0000"),IF(Start.listina!$Y$8="","",TEXT($T40,"0")),TEXT(999999*RAND(),"000000")))</f>
        <v>1080290492617796</v>
      </c>
      <c r="X40" s="417">
        <f t="shared" si="12"/>
        <v>38</v>
      </c>
      <c r="Y40" s="415">
        <f t="shared" ca="1" si="28"/>
        <v>1</v>
      </c>
      <c r="Z40" s="333">
        <f t="shared" ca="1" si="13"/>
        <v>13</v>
      </c>
      <c r="AA40" s="333">
        <f t="shared" ca="1" si="14"/>
        <v>27</v>
      </c>
      <c r="AB40" s="333">
        <f t="shared" ca="1" si="15"/>
        <v>44</v>
      </c>
      <c r="AC40" s="333">
        <f t="shared" ca="1" si="16"/>
        <v>34</v>
      </c>
      <c r="AD40" s="333">
        <f t="shared" ca="1" si="17"/>
        <v>0</v>
      </c>
      <c r="AE40" s="333">
        <f t="shared" ca="1" si="18"/>
        <v>0</v>
      </c>
      <c r="AG40" s="333">
        <f ca="1">IF(TYPE(VLOOKUP($A40,'1.kolo'!$L$3:$L$66,1,0))&gt;3,VLOOKUP($A40,'1.kolo'!$K$3:$L$66,2,0),VLOOKUP($A40,'1.kolo'!$L$3:$O$66,4,0))</f>
        <v>13</v>
      </c>
      <c r="AH40" s="333">
        <f ca="1">IF(TYPE(VLOOKUP($A40,'1.kolo'!$L$3:$L$66,1,0))&gt;3,VLOOKUP($A40,'1.kolo'!$O$3:$Q$66,2,0),VLOOKUP($A40,'1.kolo'!$L$3:$N$66,2,0))</f>
        <v>0</v>
      </c>
      <c r="AI40" s="333">
        <f ca="1">IF(TYPE(VLOOKUP($A40,'1.kolo'!$L$3:$L$66,1,0))&gt;3,VLOOKUP($A40,'1.kolo'!$O$3:$Q$66,3,0),VLOOKUP($A40,'1.kolo'!$L$3:$N$66,3,0))</f>
        <v>-4</v>
      </c>
      <c r="AJ40" s="333">
        <f t="shared" ca="1" si="19"/>
        <v>0</v>
      </c>
      <c r="AK40" s="333">
        <v>38</v>
      </c>
      <c r="AL40" s="442"/>
      <c r="AP40" s="333">
        <f ca="1">IF(TYPE(VLOOKUP($A40,'2.kolo'!$L$3:$L$66,1,0))&gt;3,IF(TYPE(VLOOKUP($A40,'2.kolo'!$K$3:$L$66,2,0))&gt;3,0,VLOOKUP($A40,'2.kolo'!$K$3:$L$66,2,0)),VLOOKUP($A40,'2.kolo'!$L$3:$O$66,4,0))</f>
        <v>27</v>
      </c>
      <c r="AQ40" s="333">
        <f ca="1">IF(TYPE(VLOOKUP($A40,'2.kolo'!$L$3:$L$66,1,0))&gt;3,IF(TYPE(VLOOKUP($A40,'2.kolo'!$O$3:$Q$66,2,0))&gt;3,0,VLOOKUP($A40,'2.kolo'!$O$3:$Q$66,2,0)),VLOOKUP($A40,'2.kolo'!$L$3:$N$66,2,0))</f>
        <v>1</v>
      </c>
      <c r="AR40" s="333">
        <f ca="1">IF(TYPE(VLOOKUP($A40,'2.kolo'!$L$3:$L$66,1,0))&gt;3,IF(TYPE(VLOOKUP($A40,'2.kolo'!$O$3:$Q$66,3,0))&gt;3,0,VLOOKUP($A40,'2.kolo'!$O$3:$Q$66,3,0)),VLOOKUP($A40,'2.kolo'!$L$3:$N$66,3,0))</f>
        <v>4</v>
      </c>
      <c r="AS40" s="333">
        <f t="shared" ca="1" si="20"/>
        <v>1</v>
      </c>
      <c r="AT40" s="415">
        <v>37</v>
      </c>
      <c r="AU40" s="442" t="str">
        <f ca="1">IF(AT40="","",CONCATENATE(TEXT($O40,"0"),IF(Start.listina!$Y$5="","",TEXT(500+$P40,"000")),TEXT(999999*RAND(),"000000")))</f>
        <v>1502950</v>
      </c>
      <c r="AV40" s="333">
        <f t="shared" ca="1" si="29"/>
        <v>0</v>
      </c>
      <c r="AY40" s="333">
        <f ca="1">IF(TYPE(VLOOKUP($A40,'3.kolo'!$L$3:$L$66,1,0))&gt;3,IF(TYPE(VLOOKUP($A40,'3.kolo'!$K$3:$L$66,2,0))&gt;3,0,VLOOKUP($A40,'3.kolo'!$K$3:$L$66,2,0)),VLOOKUP($A40,'3.kolo'!$L$3:$O$66,4,0))</f>
        <v>44</v>
      </c>
      <c r="AZ40" s="333">
        <f ca="1">IF(TYPE(VLOOKUP($A40,'3.kolo'!$L$3:$L$66,1,0))&gt;3,IF(TYPE(VLOOKUP($A40,'3.kolo'!$O$3:$Q$66,2,0))&gt;3,0,VLOOKUP($A40,'3.kolo'!$O$3:$Q$66,2,0)),VLOOKUP($A40,'3.kolo'!$L$3:$N$66,2,0))</f>
        <v>0</v>
      </c>
      <c r="BA40" s="333">
        <f ca="1">IF(TYPE(VLOOKUP($A40,'3.kolo'!$L$3:$L$66,1,0))&gt;3,IF(TYPE(VLOOKUP($A40,'3.kolo'!$O$3:$Q$66,3,0))&gt;3,0,VLOOKUP($A40,'3.kolo'!$O$3:$Q$66,3,0)),VLOOKUP($A40,'3.kolo'!$L$3:$N$66,3,0))</f>
        <v>-1</v>
      </c>
      <c r="BB40" s="333">
        <f t="shared" ca="1" si="21"/>
        <v>0</v>
      </c>
      <c r="BC40" s="415">
        <v>40</v>
      </c>
      <c r="BD40" s="442" t="str">
        <f ca="1">IF(BC40="","",CONCATENATE(TEXT($O40,"0"),IF(Start.listina!$Y$5="","",TEXT(500+$P40,"000")),TEXT(999999*RAND(),"000000")))</f>
        <v>1168573</v>
      </c>
      <c r="BE40" s="333">
        <f t="shared" ca="1" si="30"/>
        <v>0</v>
      </c>
      <c r="BH40" s="333">
        <f ca="1">IF(TYPE(VLOOKUP($A40,'4.kolo'!$L$3:$L$66,1,0))&gt;3,IF(TYPE(VLOOKUP($A40,'4.kolo'!$K$3:$L$66,2,0))&gt;3,0,VLOOKUP($A40,'4.kolo'!$K$3:$L$66,2,0)),VLOOKUP($A40,'4.kolo'!$L$3:$O$66,4,0))</f>
        <v>34</v>
      </c>
      <c r="BI40" s="333">
        <f ca="1">IF(TYPE(VLOOKUP($A40,'4.kolo'!$L$3:$L$66,1,0))&gt;3,IF(TYPE(VLOOKUP($A40,'4.kolo'!$O$3:$Q$66,2,0))&gt;3,0,VLOOKUP($A40,'4.kolo'!$O$3:$Q$66,2,0)),VLOOKUP($A40,'4.kolo'!$L$3:$N$66,2,0))</f>
        <v>0</v>
      </c>
      <c r="BJ40" s="333">
        <f ca="1">IF(TYPE(VLOOKUP($A40,'4.kolo'!$L$3:$L$66,1,0))&gt;3,IF(TYPE(VLOOKUP($A40,'4.kolo'!$O$3:$Q$66,3,0))&gt;3,0,VLOOKUP($A40,'4.kolo'!$O$3:$Q$66,3,0)),VLOOKUP($A40,'4.kolo'!$L$3:$N$66,3,0))</f>
        <v>-7</v>
      </c>
      <c r="BK40" s="333">
        <f t="shared" ca="1" si="22"/>
        <v>0</v>
      </c>
      <c r="BL40" s="415">
        <v>48</v>
      </c>
      <c r="BM40" s="442" t="str">
        <f ca="1">IF(BL40="","",CONCATENATE(TEXT($O40,"0"),IF(Start.listina!$Y$5="","",TEXT(500+$P40,"000")),TEXT(999999*RAND(),"000000")))</f>
        <v>1729379</v>
      </c>
      <c r="BN40" s="333">
        <f t="shared" ca="1" si="31"/>
        <v>0</v>
      </c>
      <c r="BQ40" s="333">
        <f ca="1">IF(TYPE(VLOOKUP($A40,'5.kolo'!$L$3:$L$66,1,0))&gt;3,IF(TYPE(VLOOKUP($A40,'5.kolo'!$K$3:$L$66,2,0))&gt;3,0,VLOOKUP($A40,'5.kolo'!$K$3:$L$66,2,0)),VLOOKUP($A40,'5.kolo'!$L$3:$O$66,4,0))</f>
        <v>0</v>
      </c>
      <c r="BR40" s="333">
        <f ca="1">IF(TYPE(VLOOKUP($A40,'5.kolo'!$L$3:$L$66,1,0))&gt;3,IF(TYPE(VLOOKUP($A40,'5.kolo'!$O$3:$Q$66,2,0))&gt;3,0,VLOOKUP($A40,'5.kolo'!$O$3:$Q$66,2,0)),VLOOKUP($A40,'5.kolo'!$L$3:$N$66,2,0))</f>
        <v>0</v>
      </c>
      <c r="BS40" s="333">
        <f ca="1">IF(TYPE(VLOOKUP($A40,'5.kolo'!$L$3:$L$66,1,0))&gt;3,IF(TYPE(VLOOKUP($A40,'5.kolo'!$O$3:$Q$66,3,0))&gt;3,0,VLOOKUP($A40,'5.kolo'!$O$3:$Q$66,3,0)),VLOOKUP($A40,'5.kolo'!$L$3:$N$66,3,0))</f>
        <v>0</v>
      </c>
      <c r="BT40" s="333">
        <f t="shared" ca="1" si="23"/>
        <v>0</v>
      </c>
      <c r="BU40" s="415"/>
      <c r="BV40" s="442" t="str">
        <f ca="1">IF(BU40="","",CONCATENATE(TEXT($O40,"0"),IF(Start.listina!$Y$5="","",TEXT(500+$P40,"000")),TEXT(999999*RAND(),"000000")))</f>
        <v/>
      </c>
      <c r="BW40" s="333">
        <f t="shared" ca="1" si="32"/>
        <v>0</v>
      </c>
      <c r="BZ40" s="333">
        <f ca="1">IF(TYPE(VLOOKUP($A40,'6.kolo'!$L$3:$L$66,1,0))&gt;3,IF(TYPE(VLOOKUP($A40,'6.kolo'!$K$3:$L$66,2,0))&gt;3,0,VLOOKUP($A40,'6.kolo'!$K$3:$L$66,2,0)),VLOOKUP($A40,'6.kolo'!$L$3:$O$66,4,0))</f>
        <v>0</v>
      </c>
      <c r="CA40" s="333">
        <f ca="1">IF(TYPE(VLOOKUP($A40,'6.kolo'!$L$3:$L$66,1,0))&gt;3,IF(TYPE(VLOOKUP($A40,'6.kolo'!$O$3:$Q$66,2,0))&gt;3,0,VLOOKUP($A40,'6.kolo'!$O$3:$Q$66,2,0)),VLOOKUP($A40,'6.kolo'!$L$3:$N$66,2,0))</f>
        <v>0</v>
      </c>
      <c r="CB40" s="333">
        <f ca="1">IF(TYPE(VLOOKUP($A40,'6.kolo'!$L$3:$L$66,1,0))&gt;3,IF(TYPE(VLOOKUP($A40,'6.kolo'!$O$3:$Q$66,3,0))&gt;3,0,VLOOKUP($A40,'6.kolo'!$O$3:$Q$66,3,0)),VLOOKUP($A40,'6.kolo'!$L$3:$N$66,3,0))</f>
        <v>0</v>
      </c>
      <c r="CC40" s="333">
        <f t="shared" ca="1" si="24"/>
        <v>0</v>
      </c>
      <c r="CD40" s="415"/>
      <c r="CE40" s="442" t="str">
        <f ca="1">IF(CD40="","",CONCATENATE(TEXT($O40,"0"),IF(Start.listina!$Y$5="","",TEXT(500+$P40,"000")),TEXT(999999*RAND(),"000000")))</f>
        <v/>
      </c>
      <c r="CF40" s="333">
        <f t="shared" ca="1" si="33"/>
        <v>0</v>
      </c>
    </row>
    <row r="41" spans="1:84" x14ac:dyDescent="0.25">
      <c r="A41" s="333">
        <f>IF(OR(Start.listina!H49&gt;Start.listina!$K$7,Start.listina!G49=TRUE),"",Start.listina!H49)</f>
        <v>39</v>
      </c>
      <c r="B41" s="333">
        <f>IF($A41&gt;Start.listina!$K$7,"",INT(($A41-1)/Start.listina!$O$7)+1)</f>
        <v>2</v>
      </c>
      <c r="C41" s="439" t="str">
        <f>IF(OR(Start.listina!H49&gt;Start.listina!$K$7,Start.listina!G49=TRUE)," - ",Start.listina!AL49)</f>
        <v>39 C.T.P. Club Ořech - Glaser Vladimír</v>
      </c>
      <c r="D41" s="333">
        <f>IF(OR(A41&gt;Start.listina!$K$7,TYPE(VLOOKUP(A41,$V$3:$X$130,3,0))&gt;3),"",VLOOKUP(A41,$V$3:$X$130,3,0))</f>
        <v>42</v>
      </c>
      <c r="E41" s="440">
        <f ca="1">IF(A41&gt;Start.listina!$K$7,"",IF(MIN(F41:K41)&gt;Start.listina!$Y$4,D41,MIN(F41:K41)))</f>
        <v>42</v>
      </c>
      <c r="F41" s="333">
        <f ca="1">IF(TYPE(VLOOKUP(C41,Konečné_pořadí_1_16!$B$2:$D$17,3,0))&lt;4,VLOOKUP(C41,Konečné_pořadí_1_16!$B$2:$D$17,3,0),999)</f>
        <v>999</v>
      </c>
      <c r="G41" s="333">
        <f ca="1">IF(TYPE(VLOOKUP(C41,'KO64'!$D$4:$D$129,1,0))&lt;4,64,999)</f>
        <v>999</v>
      </c>
      <c r="H41" s="333">
        <f ca="1">IF(TYPE(VLOOKUP(C41,'KO32'!$D$4:$D$65,1,0))&lt;4,32,999)</f>
        <v>999</v>
      </c>
      <c r="I41" s="333">
        <f ca="1">IF(TYPE(VLOOKUP(C41,'KO16'!$D$4:$D$33,1,0))&lt;4,16,999)</f>
        <v>999</v>
      </c>
      <c r="J41" s="333">
        <f ca="1">IF(TYPE(VLOOKUP(C41,'KO8'!$D$4:$D$17,1,0))&lt;4,8,999)</f>
        <v>999</v>
      </c>
      <c r="K41" s="333">
        <f ca="1">IF(TYPE(VLOOKUP(C41,'KO4'!$D$4:$D$9,1,0))&lt;4,4,999)</f>
        <v>999</v>
      </c>
      <c r="M41" s="334">
        <v>39</v>
      </c>
      <c r="O41" s="333">
        <f t="shared" ca="1" si="8"/>
        <v>1</v>
      </c>
      <c r="P41" s="333">
        <f t="shared" ca="1" si="9"/>
        <v>-11</v>
      </c>
      <c r="Q41" s="333">
        <f t="shared" ca="1" si="26"/>
        <v>7</v>
      </c>
      <c r="R41" s="333">
        <f t="shared" ca="1" si="27"/>
        <v>0</v>
      </c>
      <c r="S41" s="333">
        <f t="shared" ca="1" si="10"/>
        <v>30</v>
      </c>
      <c r="T41" s="333">
        <f t="shared" ca="1" si="11"/>
        <v>1</v>
      </c>
      <c r="U41" s="415">
        <f t="shared" si="25"/>
        <v>39</v>
      </c>
      <c r="V41" s="415">
        <v>38</v>
      </c>
      <c r="W41" s="441" t="str">
        <f ca="1">IF($V41="","",CONCATENATE(TEXT($O41,"0"),IF(Start.listina!$Y$5="","",TEXT(500+$P41,"0000")),IF(Start.listina!$Y$6="","",CHOOSE(Start.listina!$Y$7,TEXT($Q41,"00"),CONCATENATE(TEXT($Q41,"00"),TEXT($S41,"000")), TEXT($R41,"00"))),TEXT(500+$P41,"0000"),IF(Start.listina!$Y$8="","",TEXT($T41,"0")),TEXT(999999*RAND(),"000000")))</f>
        <v>1070300489641289</v>
      </c>
      <c r="X41" s="417">
        <f t="shared" si="12"/>
        <v>39</v>
      </c>
      <c r="Y41" s="415">
        <f t="shared" ca="1" si="28"/>
        <v>1</v>
      </c>
      <c r="Z41" s="333">
        <f t="shared" ca="1" si="13"/>
        <v>14</v>
      </c>
      <c r="AA41" s="333">
        <f t="shared" ca="1" si="14"/>
        <v>25</v>
      </c>
      <c r="AB41" s="333">
        <f t="shared" ca="1" si="15"/>
        <v>10</v>
      </c>
      <c r="AC41" s="333">
        <f t="shared" ca="1" si="16"/>
        <v>36</v>
      </c>
      <c r="AD41" s="333">
        <f t="shared" ca="1" si="17"/>
        <v>0</v>
      </c>
      <c r="AE41" s="333">
        <f t="shared" ca="1" si="18"/>
        <v>0</v>
      </c>
      <c r="AG41" s="333">
        <f ca="1">IF(TYPE(VLOOKUP($A41,'1.kolo'!$L$3:$L$66,1,0))&gt;3,VLOOKUP($A41,'1.kolo'!$K$3:$L$66,2,0),VLOOKUP($A41,'1.kolo'!$L$3:$O$66,4,0))</f>
        <v>14</v>
      </c>
      <c r="AH41" s="333">
        <f ca="1">IF(TYPE(VLOOKUP($A41,'1.kolo'!$L$3:$L$66,1,0))&gt;3,VLOOKUP($A41,'1.kolo'!$O$3:$Q$66,2,0),VLOOKUP($A41,'1.kolo'!$L$3:$N$66,2,0))</f>
        <v>0</v>
      </c>
      <c r="AI41" s="333">
        <f ca="1">IF(TYPE(VLOOKUP($A41,'1.kolo'!$L$3:$L$66,1,0))&gt;3,VLOOKUP($A41,'1.kolo'!$O$3:$Q$66,3,0),VLOOKUP($A41,'1.kolo'!$L$3:$N$66,3,0))</f>
        <v>-6</v>
      </c>
      <c r="AJ41" s="333">
        <f t="shared" ca="1" si="19"/>
        <v>0</v>
      </c>
      <c r="AK41" s="333">
        <v>39</v>
      </c>
      <c r="AL41" s="442"/>
      <c r="AP41" s="333">
        <f ca="1">IF(TYPE(VLOOKUP($A41,'2.kolo'!$L$3:$L$66,1,0))&gt;3,IF(TYPE(VLOOKUP($A41,'2.kolo'!$K$3:$L$66,2,0))&gt;3,0,VLOOKUP($A41,'2.kolo'!$K$3:$L$66,2,0)),VLOOKUP($A41,'2.kolo'!$L$3:$O$66,4,0))</f>
        <v>25</v>
      </c>
      <c r="AQ41" s="333">
        <f ca="1">IF(TYPE(VLOOKUP($A41,'2.kolo'!$L$3:$L$66,1,0))&gt;3,IF(TYPE(VLOOKUP($A41,'2.kolo'!$O$3:$Q$66,2,0))&gt;3,0,VLOOKUP($A41,'2.kolo'!$O$3:$Q$66,2,0)),VLOOKUP($A41,'2.kolo'!$L$3:$N$66,2,0))</f>
        <v>0</v>
      </c>
      <c r="AR41" s="333">
        <f ca="1">IF(TYPE(VLOOKUP($A41,'2.kolo'!$L$3:$L$66,1,0))&gt;3,IF(TYPE(VLOOKUP($A41,'2.kolo'!$O$3:$Q$66,3,0))&gt;3,0,VLOOKUP($A41,'2.kolo'!$O$3:$Q$66,3,0)),VLOOKUP($A41,'2.kolo'!$L$3:$N$66,3,0))</f>
        <v>-7</v>
      </c>
      <c r="AS41" s="333">
        <f t="shared" ca="1" si="20"/>
        <v>0</v>
      </c>
      <c r="AT41" s="415">
        <v>39</v>
      </c>
      <c r="AU41" s="442" t="str">
        <f ca="1">IF(AT41="","",CONCATENATE(TEXT($O41,"0"),IF(Start.listina!$Y$5="","",TEXT(500+$P41,"000")),TEXT(999999*RAND(),"000000")))</f>
        <v>1072155</v>
      </c>
      <c r="AV41" s="333">
        <f t="shared" ca="1" si="29"/>
        <v>0</v>
      </c>
      <c r="AY41" s="333">
        <f ca="1">IF(TYPE(VLOOKUP($A41,'3.kolo'!$L$3:$L$66,1,0))&gt;3,IF(TYPE(VLOOKUP($A41,'3.kolo'!$K$3:$L$66,2,0))&gt;3,0,VLOOKUP($A41,'3.kolo'!$K$3:$L$66,2,0)),VLOOKUP($A41,'3.kolo'!$L$3:$O$66,4,0))</f>
        <v>10</v>
      </c>
      <c r="AZ41" s="333">
        <f ca="1">IF(TYPE(VLOOKUP($A41,'3.kolo'!$L$3:$L$66,1,0))&gt;3,IF(TYPE(VLOOKUP($A41,'3.kolo'!$O$3:$Q$66,2,0))&gt;3,0,VLOOKUP($A41,'3.kolo'!$O$3:$Q$66,2,0)),VLOOKUP($A41,'3.kolo'!$L$3:$N$66,2,0))</f>
        <v>0</v>
      </c>
      <c r="BA41" s="333">
        <f ca="1">IF(TYPE(VLOOKUP($A41,'3.kolo'!$L$3:$L$66,1,0))&gt;3,IF(TYPE(VLOOKUP($A41,'3.kolo'!$O$3:$Q$66,3,0))&gt;3,0,VLOOKUP($A41,'3.kolo'!$O$3:$Q$66,3,0)),VLOOKUP($A41,'3.kolo'!$L$3:$N$66,3,0))</f>
        <v>-7</v>
      </c>
      <c r="BB41" s="333">
        <f t="shared" ca="1" si="21"/>
        <v>0</v>
      </c>
      <c r="BC41" s="415">
        <v>10</v>
      </c>
      <c r="BD41" s="442" t="str">
        <f ca="1">IF(BC41="","",CONCATENATE(TEXT($O41,"0"),IF(Start.listina!$Y$5="","",TEXT(500+$P41,"000")),TEXT(999999*RAND(),"000000")))</f>
        <v>1836275</v>
      </c>
      <c r="BE41" s="333">
        <f t="shared" ca="1" si="30"/>
        <v>0</v>
      </c>
      <c r="BH41" s="333">
        <f ca="1">IF(TYPE(VLOOKUP($A41,'4.kolo'!$L$3:$L$66,1,0))&gt;3,IF(TYPE(VLOOKUP($A41,'4.kolo'!$K$3:$L$66,2,0))&gt;3,0,VLOOKUP($A41,'4.kolo'!$K$3:$L$66,2,0)),VLOOKUP($A41,'4.kolo'!$L$3:$O$66,4,0))</f>
        <v>36</v>
      </c>
      <c r="BI41" s="333">
        <f ca="1">IF(TYPE(VLOOKUP($A41,'4.kolo'!$L$3:$L$66,1,0))&gt;3,IF(TYPE(VLOOKUP($A41,'4.kolo'!$O$3:$Q$66,2,0))&gt;3,0,VLOOKUP($A41,'4.kolo'!$O$3:$Q$66,2,0)),VLOOKUP($A41,'4.kolo'!$L$3:$N$66,2,0))</f>
        <v>1</v>
      </c>
      <c r="BJ41" s="333">
        <f ca="1">IF(TYPE(VLOOKUP($A41,'4.kolo'!$L$3:$L$66,1,0))&gt;3,IF(TYPE(VLOOKUP($A41,'4.kolo'!$O$3:$Q$66,3,0))&gt;3,0,VLOOKUP($A41,'4.kolo'!$O$3:$Q$66,3,0)),VLOOKUP($A41,'4.kolo'!$L$3:$N$66,3,0))</f>
        <v>9</v>
      </c>
      <c r="BK41" s="333">
        <f t="shared" ca="1" si="22"/>
        <v>1</v>
      </c>
      <c r="BL41" s="415">
        <v>41</v>
      </c>
      <c r="BM41" s="442" t="str">
        <f ca="1">IF(BL41="","",CONCATENATE(TEXT($O41,"0"),IF(Start.listina!$Y$5="","",TEXT(500+$P41,"000")),TEXT(999999*RAND(),"000000")))</f>
        <v>1719267</v>
      </c>
      <c r="BN41" s="333">
        <f t="shared" ca="1" si="31"/>
        <v>0</v>
      </c>
      <c r="BQ41" s="333">
        <f ca="1">IF(TYPE(VLOOKUP($A41,'5.kolo'!$L$3:$L$66,1,0))&gt;3,IF(TYPE(VLOOKUP($A41,'5.kolo'!$K$3:$L$66,2,0))&gt;3,0,VLOOKUP($A41,'5.kolo'!$K$3:$L$66,2,0)),VLOOKUP($A41,'5.kolo'!$L$3:$O$66,4,0))</f>
        <v>0</v>
      </c>
      <c r="BR41" s="333">
        <f ca="1">IF(TYPE(VLOOKUP($A41,'5.kolo'!$L$3:$L$66,1,0))&gt;3,IF(TYPE(VLOOKUP($A41,'5.kolo'!$O$3:$Q$66,2,0))&gt;3,0,VLOOKUP($A41,'5.kolo'!$O$3:$Q$66,2,0)),VLOOKUP($A41,'5.kolo'!$L$3:$N$66,2,0))</f>
        <v>0</v>
      </c>
      <c r="BS41" s="333">
        <f ca="1">IF(TYPE(VLOOKUP($A41,'5.kolo'!$L$3:$L$66,1,0))&gt;3,IF(TYPE(VLOOKUP($A41,'5.kolo'!$O$3:$Q$66,3,0))&gt;3,0,VLOOKUP($A41,'5.kolo'!$O$3:$Q$66,3,0)),VLOOKUP($A41,'5.kolo'!$L$3:$N$66,3,0))</f>
        <v>0</v>
      </c>
      <c r="BT41" s="333">
        <f t="shared" ca="1" si="23"/>
        <v>0</v>
      </c>
      <c r="BU41" s="415"/>
      <c r="BV41" s="442" t="str">
        <f ca="1">IF(BU41="","",CONCATENATE(TEXT($O41,"0"),IF(Start.listina!$Y$5="","",TEXT(500+$P41,"000")),TEXT(999999*RAND(),"000000")))</f>
        <v/>
      </c>
      <c r="BW41" s="333">
        <f t="shared" ca="1" si="32"/>
        <v>0</v>
      </c>
      <c r="BZ41" s="333">
        <f ca="1">IF(TYPE(VLOOKUP($A41,'6.kolo'!$L$3:$L$66,1,0))&gt;3,IF(TYPE(VLOOKUP($A41,'6.kolo'!$K$3:$L$66,2,0))&gt;3,0,VLOOKUP($A41,'6.kolo'!$K$3:$L$66,2,0)),VLOOKUP($A41,'6.kolo'!$L$3:$O$66,4,0))</f>
        <v>0</v>
      </c>
      <c r="CA41" s="333">
        <f ca="1">IF(TYPE(VLOOKUP($A41,'6.kolo'!$L$3:$L$66,1,0))&gt;3,IF(TYPE(VLOOKUP($A41,'6.kolo'!$O$3:$Q$66,2,0))&gt;3,0,VLOOKUP($A41,'6.kolo'!$O$3:$Q$66,2,0)),VLOOKUP($A41,'6.kolo'!$L$3:$N$66,2,0))</f>
        <v>0</v>
      </c>
      <c r="CB41" s="333">
        <f ca="1">IF(TYPE(VLOOKUP($A41,'6.kolo'!$L$3:$L$66,1,0))&gt;3,IF(TYPE(VLOOKUP($A41,'6.kolo'!$O$3:$Q$66,3,0))&gt;3,0,VLOOKUP($A41,'6.kolo'!$O$3:$Q$66,3,0)),VLOOKUP($A41,'6.kolo'!$L$3:$N$66,3,0))</f>
        <v>0</v>
      </c>
      <c r="CC41" s="333">
        <f t="shared" ca="1" si="24"/>
        <v>0</v>
      </c>
      <c r="CD41" s="415"/>
      <c r="CE41" s="442" t="str">
        <f ca="1">IF(CD41="","",CONCATENATE(TEXT($O41,"0"),IF(Start.listina!$Y$5="","",TEXT(500+$P41,"000")),TEXT(999999*RAND(),"000000")))</f>
        <v/>
      </c>
      <c r="CF41" s="333">
        <f t="shared" ca="1" si="33"/>
        <v>0</v>
      </c>
    </row>
    <row r="42" spans="1:84" x14ac:dyDescent="0.25">
      <c r="A42" s="333">
        <f>IF(OR(Start.listina!H50&gt;Start.listina!$K$7,Start.listina!G50=TRUE),"",Start.listina!H50)</f>
        <v>40</v>
      </c>
      <c r="B42" s="333">
        <f>IF($A42&gt;Start.listina!$K$7,"",INT(($A42-1)/Start.listina!$O$7)+1)</f>
        <v>2</v>
      </c>
      <c r="C42" s="439" t="str">
        <f>IF(OR(Start.listina!H50&gt;Start.listina!$K$7,Start.listina!G50=TRUE)," - ",Start.listina!AL50)</f>
        <v>40 SKP Kulová osma - Fárová Helena</v>
      </c>
      <c r="D42" s="333">
        <f>IF(OR(A42&gt;Start.listina!$K$7,TYPE(VLOOKUP(A42,$V$3:$X$130,3,0))&gt;3),"",VLOOKUP(A42,$V$3:$X$130,3,0))</f>
        <v>37</v>
      </c>
      <c r="E42" s="440">
        <f ca="1">IF(A42&gt;Start.listina!$K$7,"",IF(MIN(F42:K42)&gt;Start.listina!$Y$4,D42,MIN(F42:K42)))</f>
        <v>37</v>
      </c>
      <c r="F42" s="333">
        <f ca="1">IF(TYPE(VLOOKUP(C42,Konečné_pořadí_1_16!$B$2:$D$17,3,0))&lt;4,VLOOKUP(C42,Konečné_pořadí_1_16!$B$2:$D$17,3,0),999)</f>
        <v>999</v>
      </c>
      <c r="G42" s="333">
        <f ca="1">IF(TYPE(VLOOKUP(C42,'KO64'!$D$4:$D$129,1,0))&lt;4,64,999)</f>
        <v>999</v>
      </c>
      <c r="H42" s="333">
        <f ca="1">IF(TYPE(VLOOKUP(C42,'KO32'!$D$4:$D$65,1,0))&lt;4,32,999)</f>
        <v>999</v>
      </c>
      <c r="I42" s="333">
        <f ca="1">IF(TYPE(VLOOKUP(C42,'KO16'!$D$4:$D$33,1,0))&lt;4,16,999)</f>
        <v>999</v>
      </c>
      <c r="J42" s="333">
        <f ca="1">IF(TYPE(VLOOKUP(C42,'KO8'!$D$4:$D$17,1,0))&lt;4,8,999)</f>
        <v>999</v>
      </c>
      <c r="K42" s="333">
        <f ca="1">IF(TYPE(VLOOKUP(C42,'KO4'!$D$4:$D$9,1,0))&lt;4,4,999)</f>
        <v>999</v>
      </c>
      <c r="M42" s="334">
        <v>40</v>
      </c>
      <c r="O42" s="333">
        <f t="shared" ca="1" si="8"/>
        <v>1</v>
      </c>
      <c r="P42" s="333">
        <f t="shared" ca="1" si="9"/>
        <v>-9</v>
      </c>
      <c r="Q42" s="333">
        <f t="shared" ca="1" si="26"/>
        <v>9</v>
      </c>
      <c r="R42" s="333">
        <f t="shared" ca="1" si="27"/>
        <v>2</v>
      </c>
      <c r="S42" s="333">
        <f t="shared" ca="1" si="10"/>
        <v>30</v>
      </c>
      <c r="T42" s="333">
        <f t="shared" ca="1" si="11"/>
        <v>1</v>
      </c>
      <c r="U42" s="415">
        <f t="shared" si="25"/>
        <v>40</v>
      </c>
      <c r="V42" s="415">
        <v>28</v>
      </c>
      <c r="W42" s="441" t="str">
        <f ca="1">IF($V42="","",CONCATENATE(TEXT($O42,"0"),IF(Start.listina!$Y$5="","",TEXT(500+$P42,"0000")),IF(Start.listina!$Y$6="","",CHOOSE(Start.listina!$Y$7,TEXT($Q42,"00"),CONCATENATE(TEXT($Q42,"00"),TEXT($S42,"000")), TEXT($R42,"00"))),TEXT(500+$P42,"0000"),IF(Start.listina!$Y$8="","",TEXT($T42,"0")),TEXT(999999*RAND(),"000000")))</f>
        <v>1090300491583728</v>
      </c>
      <c r="X42" s="417">
        <f t="shared" si="12"/>
        <v>40</v>
      </c>
      <c r="Y42" s="415">
        <f t="shared" ca="1" si="28"/>
        <v>1</v>
      </c>
      <c r="Z42" s="333">
        <f t="shared" ca="1" si="13"/>
        <v>15</v>
      </c>
      <c r="AA42" s="333">
        <f t="shared" ca="1" si="14"/>
        <v>16</v>
      </c>
      <c r="AB42" s="333">
        <f t="shared" ca="1" si="15"/>
        <v>31</v>
      </c>
      <c r="AC42" s="333">
        <f t="shared" ca="1" si="16"/>
        <v>41</v>
      </c>
      <c r="AD42" s="333">
        <f t="shared" ca="1" si="17"/>
        <v>0</v>
      </c>
      <c r="AE42" s="333">
        <f t="shared" ca="1" si="18"/>
        <v>0</v>
      </c>
      <c r="AG42" s="333">
        <f ca="1">IF(TYPE(VLOOKUP($A42,'1.kolo'!$L$3:$L$66,1,0))&gt;3,VLOOKUP($A42,'1.kolo'!$K$3:$L$66,2,0),VLOOKUP($A42,'1.kolo'!$L$3:$O$66,4,0))</f>
        <v>15</v>
      </c>
      <c r="AH42" s="333">
        <f ca="1">IF(TYPE(VLOOKUP($A42,'1.kolo'!$L$3:$L$66,1,0))&gt;3,VLOOKUP($A42,'1.kolo'!$O$3:$Q$66,2,0),VLOOKUP($A42,'1.kolo'!$L$3:$N$66,2,0))</f>
        <v>1</v>
      </c>
      <c r="AI42" s="333">
        <f ca="1">IF(TYPE(VLOOKUP($A42,'1.kolo'!$L$3:$L$66,1,0))&gt;3,VLOOKUP($A42,'1.kolo'!$O$3:$Q$66,3,0),VLOOKUP($A42,'1.kolo'!$L$3:$N$66,3,0))</f>
        <v>9</v>
      </c>
      <c r="AJ42" s="333">
        <f t="shared" ca="1" si="19"/>
        <v>1</v>
      </c>
      <c r="AK42" s="333">
        <v>40</v>
      </c>
      <c r="AL42" s="442"/>
      <c r="AP42" s="333">
        <f ca="1">IF(TYPE(VLOOKUP($A42,'2.kolo'!$L$3:$L$66,1,0))&gt;3,IF(TYPE(VLOOKUP($A42,'2.kolo'!$K$3:$L$66,2,0))&gt;3,0,VLOOKUP($A42,'2.kolo'!$K$3:$L$66,2,0)),VLOOKUP($A42,'2.kolo'!$L$3:$O$66,4,0))</f>
        <v>16</v>
      </c>
      <c r="AQ42" s="333">
        <f ca="1">IF(TYPE(VLOOKUP($A42,'2.kolo'!$L$3:$L$66,1,0))&gt;3,IF(TYPE(VLOOKUP($A42,'2.kolo'!$O$3:$Q$66,2,0))&gt;3,0,VLOOKUP($A42,'2.kolo'!$O$3:$Q$66,2,0)),VLOOKUP($A42,'2.kolo'!$L$3:$N$66,2,0))</f>
        <v>0</v>
      </c>
      <c r="AR42" s="333">
        <f ca="1">IF(TYPE(VLOOKUP($A42,'2.kolo'!$L$3:$L$66,1,0))&gt;3,IF(TYPE(VLOOKUP($A42,'2.kolo'!$O$3:$Q$66,3,0))&gt;3,0,VLOOKUP($A42,'2.kolo'!$O$3:$Q$66,3,0)),VLOOKUP($A42,'2.kolo'!$L$3:$N$66,3,0))</f>
        <v>-5</v>
      </c>
      <c r="AS42" s="333">
        <f t="shared" ca="1" si="20"/>
        <v>0</v>
      </c>
      <c r="AT42" s="415">
        <v>25</v>
      </c>
      <c r="AU42" s="442" t="str">
        <f ca="1">IF(AT42="","",CONCATENATE(TEXT($O42,"0"),IF(Start.listina!$Y$5="","",TEXT(500+$P42,"000")),TEXT(999999*RAND(),"000000")))</f>
        <v>1618414</v>
      </c>
      <c r="AV42" s="333">
        <f t="shared" ca="1" si="29"/>
        <v>0</v>
      </c>
      <c r="AY42" s="333">
        <f ca="1">IF(TYPE(VLOOKUP($A42,'3.kolo'!$L$3:$L$66,1,0))&gt;3,IF(TYPE(VLOOKUP($A42,'3.kolo'!$K$3:$L$66,2,0))&gt;3,0,VLOOKUP($A42,'3.kolo'!$K$3:$L$66,2,0)),VLOOKUP($A42,'3.kolo'!$L$3:$O$66,4,0))</f>
        <v>31</v>
      </c>
      <c r="AZ42" s="333">
        <f ca="1">IF(TYPE(VLOOKUP($A42,'3.kolo'!$L$3:$L$66,1,0))&gt;3,IF(TYPE(VLOOKUP($A42,'3.kolo'!$O$3:$Q$66,2,0))&gt;3,0,VLOOKUP($A42,'3.kolo'!$O$3:$Q$66,2,0)),VLOOKUP($A42,'3.kolo'!$L$3:$N$66,2,0))</f>
        <v>0</v>
      </c>
      <c r="BA42" s="333">
        <f ca="1">IF(TYPE(VLOOKUP($A42,'3.kolo'!$L$3:$L$66,1,0))&gt;3,IF(TYPE(VLOOKUP($A42,'3.kolo'!$O$3:$Q$66,3,0))&gt;3,0,VLOOKUP($A42,'3.kolo'!$O$3:$Q$66,3,0)),VLOOKUP($A42,'3.kolo'!$L$3:$N$66,3,0))</f>
        <v>-3</v>
      </c>
      <c r="BB42" s="333">
        <f t="shared" ca="1" si="21"/>
        <v>0</v>
      </c>
      <c r="BC42" s="415">
        <v>39</v>
      </c>
      <c r="BD42" s="442" t="str">
        <f ca="1">IF(BC42="","",CONCATENATE(TEXT($O42,"0"),IF(Start.listina!$Y$5="","",TEXT(500+$P42,"000")),TEXT(999999*RAND(),"000000")))</f>
        <v>1643831</v>
      </c>
      <c r="BE42" s="333">
        <f t="shared" ca="1" si="30"/>
        <v>0</v>
      </c>
      <c r="BH42" s="333">
        <f ca="1">IF(TYPE(VLOOKUP($A42,'4.kolo'!$L$3:$L$66,1,0))&gt;3,IF(TYPE(VLOOKUP($A42,'4.kolo'!$K$3:$L$66,2,0))&gt;3,0,VLOOKUP($A42,'4.kolo'!$K$3:$L$66,2,0)),VLOOKUP($A42,'4.kolo'!$L$3:$O$66,4,0))</f>
        <v>41</v>
      </c>
      <c r="BI42" s="333">
        <f ca="1">IF(TYPE(VLOOKUP($A42,'4.kolo'!$L$3:$L$66,1,0))&gt;3,IF(TYPE(VLOOKUP($A42,'4.kolo'!$O$3:$Q$66,2,0))&gt;3,0,VLOOKUP($A42,'4.kolo'!$O$3:$Q$66,2,0)),VLOOKUP($A42,'4.kolo'!$L$3:$N$66,2,0))</f>
        <v>0</v>
      </c>
      <c r="BJ42" s="333">
        <f ca="1">IF(TYPE(VLOOKUP($A42,'4.kolo'!$L$3:$L$66,1,0))&gt;3,IF(TYPE(VLOOKUP($A42,'4.kolo'!$O$3:$Q$66,3,0))&gt;3,0,VLOOKUP($A42,'4.kolo'!$O$3:$Q$66,3,0)),VLOOKUP($A42,'4.kolo'!$L$3:$N$66,3,0))</f>
        <v>-10</v>
      </c>
      <c r="BK42" s="333">
        <f t="shared" ca="1" si="22"/>
        <v>0</v>
      </c>
      <c r="BL42" s="415">
        <v>40</v>
      </c>
      <c r="BM42" s="442" t="str">
        <f ca="1">IF(BL42="","",CONCATENATE(TEXT($O42,"0"),IF(Start.listina!$Y$5="","",TEXT(500+$P42,"000")),TEXT(999999*RAND(),"000000")))</f>
        <v>1472422</v>
      </c>
      <c r="BN42" s="333">
        <f t="shared" ca="1" si="31"/>
        <v>0</v>
      </c>
      <c r="BQ42" s="333">
        <f ca="1">IF(TYPE(VLOOKUP($A42,'5.kolo'!$L$3:$L$66,1,0))&gt;3,IF(TYPE(VLOOKUP($A42,'5.kolo'!$K$3:$L$66,2,0))&gt;3,0,VLOOKUP($A42,'5.kolo'!$K$3:$L$66,2,0)),VLOOKUP($A42,'5.kolo'!$L$3:$O$66,4,0))</f>
        <v>0</v>
      </c>
      <c r="BR42" s="333">
        <f ca="1">IF(TYPE(VLOOKUP($A42,'5.kolo'!$L$3:$L$66,1,0))&gt;3,IF(TYPE(VLOOKUP($A42,'5.kolo'!$O$3:$Q$66,2,0))&gt;3,0,VLOOKUP($A42,'5.kolo'!$O$3:$Q$66,2,0)),VLOOKUP($A42,'5.kolo'!$L$3:$N$66,2,0))</f>
        <v>0</v>
      </c>
      <c r="BS42" s="333">
        <f ca="1">IF(TYPE(VLOOKUP($A42,'5.kolo'!$L$3:$L$66,1,0))&gt;3,IF(TYPE(VLOOKUP($A42,'5.kolo'!$O$3:$Q$66,3,0))&gt;3,0,VLOOKUP($A42,'5.kolo'!$O$3:$Q$66,3,0)),VLOOKUP($A42,'5.kolo'!$L$3:$N$66,3,0))</f>
        <v>0</v>
      </c>
      <c r="BT42" s="333">
        <f t="shared" ca="1" si="23"/>
        <v>0</v>
      </c>
      <c r="BU42" s="415"/>
      <c r="BV42" s="442" t="str">
        <f ca="1">IF(BU42="","",CONCATENATE(TEXT($O42,"0"),IF(Start.listina!$Y$5="","",TEXT(500+$P42,"000")),TEXT(999999*RAND(),"000000")))</f>
        <v/>
      </c>
      <c r="BW42" s="333">
        <f t="shared" ca="1" si="32"/>
        <v>0</v>
      </c>
      <c r="BZ42" s="333">
        <f ca="1">IF(TYPE(VLOOKUP($A42,'6.kolo'!$L$3:$L$66,1,0))&gt;3,IF(TYPE(VLOOKUP($A42,'6.kolo'!$K$3:$L$66,2,0))&gt;3,0,VLOOKUP($A42,'6.kolo'!$K$3:$L$66,2,0)),VLOOKUP($A42,'6.kolo'!$L$3:$O$66,4,0))</f>
        <v>0</v>
      </c>
      <c r="CA42" s="333">
        <f ca="1">IF(TYPE(VLOOKUP($A42,'6.kolo'!$L$3:$L$66,1,0))&gt;3,IF(TYPE(VLOOKUP($A42,'6.kolo'!$O$3:$Q$66,2,0))&gt;3,0,VLOOKUP($A42,'6.kolo'!$O$3:$Q$66,2,0)),VLOOKUP($A42,'6.kolo'!$L$3:$N$66,2,0))</f>
        <v>0</v>
      </c>
      <c r="CB42" s="333">
        <f ca="1">IF(TYPE(VLOOKUP($A42,'6.kolo'!$L$3:$L$66,1,0))&gt;3,IF(TYPE(VLOOKUP($A42,'6.kolo'!$O$3:$Q$66,3,0))&gt;3,0,VLOOKUP($A42,'6.kolo'!$O$3:$Q$66,3,0)),VLOOKUP($A42,'6.kolo'!$L$3:$N$66,3,0))</f>
        <v>0</v>
      </c>
      <c r="CC42" s="333">
        <f t="shared" ca="1" si="24"/>
        <v>0</v>
      </c>
      <c r="CD42" s="415"/>
      <c r="CE42" s="442" t="str">
        <f ca="1">IF(CD42="","",CONCATENATE(TEXT($O42,"0"),IF(Start.listina!$Y$5="","",TEXT(500+$P42,"000")),TEXT(999999*RAND(),"000000")))</f>
        <v/>
      </c>
      <c r="CF42" s="333">
        <f t="shared" ca="1" si="33"/>
        <v>0</v>
      </c>
    </row>
    <row r="43" spans="1:84" x14ac:dyDescent="0.25">
      <c r="A43" s="333">
        <f>IF(OR(Start.listina!H51&gt;Start.listina!$K$7,Start.listina!G51=TRUE),"",Start.listina!H51)</f>
        <v>41</v>
      </c>
      <c r="B43" s="333">
        <f>IF($A43&gt;Start.listina!$K$7,"",INT(($A43-1)/Start.listina!$O$7)+1)</f>
        <v>2</v>
      </c>
      <c r="C43" s="439" t="str">
        <f>IF(OR(Start.listina!H51&gt;Start.listina!$K$7,Start.listina!G51=TRUE)," - ",Start.listina!AL51)</f>
        <v>41 CdP Loděnice - Janoš Jiří</v>
      </c>
      <c r="D43" s="333">
        <f>IF(OR(A43&gt;Start.listina!$K$7,TYPE(VLOOKUP(A43,$V$3:$X$130,3,0))&gt;3),"",VLOOKUP(A43,$V$3:$X$130,3,0))</f>
        <v>29</v>
      </c>
      <c r="E43" s="440">
        <f ca="1">IF(A43&gt;Start.listina!$K$7,"",IF(MIN(F43:K43)&gt;Start.listina!$Y$4,D43,MIN(F43:K43)))</f>
        <v>29</v>
      </c>
      <c r="F43" s="333">
        <f ca="1">IF(TYPE(VLOOKUP(C43,Konečné_pořadí_1_16!$B$2:$D$17,3,0))&lt;4,VLOOKUP(C43,Konečné_pořadí_1_16!$B$2:$D$17,3,0),999)</f>
        <v>999</v>
      </c>
      <c r="G43" s="333">
        <f ca="1">IF(TYPE(VLOOKUP(C43,'KO64'!$D$4:$D$129,1,0))&lt;4,64,999)</f>
        <v>999</v>
      </c>
      <c r="H43" s="333">
        <f ca="1">IF(TYPE(VLOOKUP(C43,'KO32'!$D$4:$D$65,1,0))&lt;4,32,999)</f>
        <v>999</v>
      </c>
      <c r="I43" s="333">
        <f ca="1">IF(TYPE(VLOOKUP(C43,'KO16'!$D$4:$D$33,1,0))&lt;4,16,999)</f>
        <v>999</v>
      </c>
      <c r="J43" s="333">
        <f ca="1">IF(TYPE(VLOOKUP(C43,'KO8'!$D$4:$D$17,1,0))&lt;4,8,999)</f>
        <v>999</v>
      </c>
      <c r="K43" s="333">
        <f ca="1">IF(TYPE(VLOOKUP(C43,'KO4'!$D$4:$D$9,1,0))&lt;4,4,999)</f>
        <v>999</v>
      </c>
      <c r="M43" s="334">
        <v>41</v>
      </c>
      <c r="O43" s="333">
        <f t="shared" ca="1" si="8"/>
        <v>2</v>
      </c>
      <c r="P43" s="333">
        <f t="shared" ca="1" si="9"/>
        <v>-2</v>
      </c>
      <c r="Q43" s="333">
        <f t="shared" ca="1" si="26"/>
        <v>7</v>
      </c>
      <c r="R43" s="333">
        <f t="shared" ca="1" si="27"/>
        <v>1</v>
      </c>
      <c r="S43" s="333">
        <f t="shared" ca="1" si="10"/>
        <v>32</v>
      </c>
      <c r="T43" s="333">
        <f t="shared" ca="1" si="11"/>
        <v>2</v>
      </c>
      <c r="U43" s="415">
        <f t="shared" si="25"/>
        <v>41</v>
      </c>
      <c r="V43" s="415">
        <v>27</v>
      </c>
      <c r="W43" s="441" t="str">
        <f ca="1">IF($V43="","",CONCATENATE(TEXT($O43,"0"),IF(Start.listina!$Y$5="","",TEXT(500+$P43,"0000")),IF(Start.listina!$Y$6="","",CHOOSE(Start.listina!$Y$7,TEXT($Q43,"00"),CONCATENATE(TEXT($Q43,"00"),TEXT($S43,"000")), TEXT($R43,"00"))),TEXT(500+$P43,"0000"),IF(Start.listina!$Y$8="","",TEXT($T43,"0")),TEXT(999999*RAND(),"000000")))</f>
        <v>2070320498353232</v>
      </c>
      <c r="X43" s="417">
        <f t="shared" si="12"/>
        <v>41</v>
      </c>
      <c r="Y43" s="415">
        <f t="shared" ca="1" si="28"/>
        <v>1</v>
      </c>
      <c r="Z43" s="333">
        <f t="shared" ca="1" si="13"/>
        <v>16</v>
      </c>
      <c r="AA43" s="333">
        <f t="shared" ca="1" si="14"/>
        <v>20</v>
      </c>
      <c r="AB43" s="333">
        <f t="shared" ca="1" si="15"/>
        <v>30</v>
      </c>
      <c r="AC43" s="333">
        <f t="shared" ca="1" si="16"/>
        <v>40</v>
      </c>
      <c r="AD43" s="333">
        <f t="shared" ca="1" si="17"/>
        <v>0</v>
      </c>
      <c r="AE43" s="333">
        <f t="shared" ca="1" si="18"/>
        <v>0</v>
      </c>
      <c r="AG43" s="333">
        <f ca="1">IF(TYPE(VLOOKUP($A43,'1.kolo'!$L$3:$L$66,1,0))&gt;3,VLOOKUP($A43,'1.kolo'!$K$3:$L$66,2,0),VLOOKUP($A43,'1.kolo'!$L$3:$O$66,4,0))</f>
        <v>16</v>
      </c>
      <c r="AH43" s="333">
        <f ca="1">IF(TYPE(VLOOKUP($A43,'1.kolo'!$L$3:$L$66,1,0))&gt;3,VLOOKUP($A43,'1.kolo'!$O$3:$Q$66,2,0),VLOOKUP($A43,'1.kolo'!$L$3:$N$66,2,0))</f>
        <v>0</v>
      </c>
      <c r="AI43" s="333">
        <f ca="1">IF(TYPE(VLOOKUP($A43,'1.kolo'!$L$3:$L$66,1,0))&gt;3,VLOOKUP($A43,'1.kolo'!$O$3:$Q$66,3,0),VLOOKUP($A43,'1.kolo'!$L$3:$N$66,3,0))</f>
        <v>-11</v>
      </c>
      <c r="AJ43" s="333">
        <f t="shared" ca="1" si="19"/>
        <v>0</v>
      </c>
      <c r="AK43" s="333">
        <v>41</v>
      </c>
      <c r="AL43" s="442"/>
      <c r="AP43" s="333">
        <f ca="1">IF(TYPE(VLOOKUP($A43,'2.kolo'!$L$3:$L$66,1,0))&gt;3,IF(TYPE(VLOOKUP($A43,'2.kolo'!$K$3:$L$66,2,0))&gt;3,0,VLOOKUP($A43,'2.kolo'!$K$3:$L$66,2,0)),VLOOKUP($A43,'2.kolo'!$L$3:$O$66,4,0))</f>
        <v>20</v>
      </c>
      <c r="AQ43" s="333">
        <f ca="1">IF(TYPE(VLOOKUP($A43,'2.kolo'!$L$3:$L$66,1,0))&gt;3,IF(TYPE(VLOOKUP($A43,'2.kolo'!$O$3:$Q$66,2,0))&gt;3,0,VLOOKUP($A43,'2.kolo'!$O$3:$Q$66,2,0)),VLOOKUP($A43,'2.kolo'!$L$3:$N$66,2,0))</f>
        <v>0</v>
      </c>
      <c r="AR43" s="333">
        <f ca="1">IF(TYPE(VLOOKUP($A43,'2.kolo'!$L$3:$L$66,1,0))&gt;3,IF(TYPE(VLOOKUP($A43,'2.kolo'!$O$3:$Q$66,3,0))&gt;3,0,VLOOKUP($A43,'2.kolo'!$O$3:$Q$66,3,0)),VLOOKUP($A43,'2.kolo'!$L$3:$N$66,3,0))</f>
        <v>-2</v>
      </c>
      <c r="AS43" s="333">
        <f t="shared" ca="1" si="20"/>
        <v>0</v>
      </c>
      <c r="AT43" s="415">
        <v>27</v>
      </c>
      <c r="AU43" s="442" t="str">
        <f ca="1">IF(AT43="","",CONCATENATE(TEXT($O43,"0"),IF(Start.listina!$Y$5="","",TEXT(500+$P43,"000")),TEXT(999999*RAND(),"000000")))</f>
        <v>2628702</v>
      </c>
      <c r="AV43" s="333">
        <f t="shared" ca="1" si="29"/>
        <v>0</v>
      </c>
      <c r="AY43" s="333">
        <f ca="1">IF(TYPE(VLOOKUP($A43,'3.kolo'!$L$3:$L$66,1,0))&gt;3,IF(TYPE(VLOOKUP($A43,'3.kolo'!$K$3:$L$66,2,0))&gt;3,0,VLOOKUP($A43,'3.kolo'!$K$3:$L$66,2,0)),VLOOKUP($A43,'3.kolo'!$L$3:$O$66,4,0))</f>
        <v>30</v>
      </c>
      <c r="AZ43" s="333">
        <f ca="1">IF(TYPE(VLOOKUP($A43,'3.kolo'!$L$3:$L$66,1,0))&gt;3,IF(TYPE(VLOOKUP($A43,'3.kolo'!$O$3:$Q$66,2,0))&gt;3,0,VLOOKUP($A43,'3.kolo'!$O$3:$Q$66,2,0)),VLOOKUP($A43,'3.kolo'!$L$3:$N$66,2,0))</f>
        <v>1</v>
      </c>
      <c r="BA43" s="333">
        <f ca="1">IF(TYPE(VLOOKUP($A43,'3.kolo'!$L$3:$L$66,1,0))&gt;3,IF(TYPE(VLOOKUP($A43,'3.kolo'!$O$3:$Q$66,3,0))&gt;3,0,VLOOKUP($A43,'3.kolo'!$O$3:$Q$66,3,0)),VLOOKUP($A43,'3.kolo'!$L$3:$N$66,3,0))</f>
        <v>1</v>
      </c>
      <c r="BB43" s="333">
        <f t="shared" ca="1" si="21"/>
        <v>1</v>
      </c>
      <c r="BC43" s="415">
        <v>27</v>
      </c>
      <c r="BD43" s="442" t="str">
        <f ca="1">IF(BC43="","",CONCATENATE(TEXT($O43,"0"),IF(Start.listina!$Y$5="","",TEXT(500+$P43,"000")),TEXT(999999*RAND(),"000000")))</f>
        <v>2151318</v>
      </c>
      <c r="BE43" s="333">
        <f t="shared" ca="1" si="30"/>
        <v>0</v>
      </c>
      <c r="BH43" s="333">
        <f ca="1">IF(TYPE(VLOOKUP($A43,'4.kolo'!$L$3:$L$66,1,0))&gt;3,IF(TYPE(VLOOKUP($A43,'4.kolo'!$K$3:$L$66,2,0))&gt;3,0,VLOOKUP($A43,'4.kolo'!$K$3:$L$66,2,0)),VLOOKUP($A43,'4.kolo'!$L$3:$O$66,4,0))</f>
        <v>40</v>
      </c>
      <c r="BI43" s="333">
        <f ca="1">IF(TYPE(VLOOKUP($A43,'4.kolo'!$L$3:$L$66,1,0))&gt;3,IF(TYPE(VLOOKUP($A43,'4.kolo'!$O$3:$Q$66,2,0))&gt;3,0,VLOOKUP($A43,'4.kolo'!$O$3:$Q$66,2,0)),VLOOKUP($A43,'4.kolo'!$L$3:$N$66,2,0))</f>
        <v>1</v>
      </c>
      <c r="BJ43" s="333">
        <f ca="1">IF(TYPE(VLOOKUP($A43,'4.kolo'!$L$3:$L$66,1,0))&gt;3,IF(TYPE(VLOOKUP($A43,'4.kolo'!$O$3:$Q$66,3,0))&gt;3,0,VLOOKUP($A43,'4.kolo'!$O$3:$Q$66,3,0)),VLOOKUP($A43,'4.kolo'!$L$3:$N$66,3,0))</f>
        <v>10</v>
      </c>
      <c r="BK43" s="333">
        <f t="shared" ca="1" si="22"/>
        <v>1</v>
      </c>
      <c r="BL43" s="415">
        <v>47</v>
      </c>
      <c r="BM43" s="442" t="str">
        <f ca="1">IF(BL43="","",CONCATENATE(TEXT($O43,"0"),IF(Start.listina!$Y$5="","",TEXT(500+$P43,"000")),TEXT(999999*RAND(),"000000")))</f>
        <v>2930701</v>
      </c>
      <c r="BN43" s="333">
        <f t="shared" ca="1" si="31"/>
        <v>0</v>
      </c>
      <c r="BQ43" s="333">
        <f ca="1">IF(TYPE(VLOOKUP($A43,'5.kolo'!$L$3:$L$66,1,0))&gt;3,IF(TYPE(VLOOKUP($A43,'5.kolo'!$K$3:$L$66,2,0))&gt;3,0,VLOOKUP($A43,'5.kolo'!$K$3:$L$66,2,0)),VLOOKUP($A43,'5.kolo'!$L$3:$O$66,4,0))</f>
        <v>0</v>
      </c>
      <c r="BR43" s="333">
        <f ca="1">IF(TYPE(VLOOKUP($A43,'5.kolo'!$L$3:$L$66,1,0))&gt;3,IF(TYPE(VLOOKUP($A43,'5.kolo'!$O$3:$Q$66,2,0))&gt;3,0,VLOOKUP($A43,'5.kolo'!$O$3:$Q$66,2,0)),VLOOKUP($A43,'5.kolo'!$L$3:$N$66,2,0))</f>
        <v>0</v>
      </c>
      <c r="BS43" s="333">
        <f ca="1">IF(TYPE(VLOOKUP($A43,'5.kolo'!$L$3:$L$66,1,0))&gt;3,IF(TYPE(VLOOKUP($A43,'5.kolo'!$O$3:$Q$66,3,0))&gt;3,0,VLOOKUP($A43,'5.kolo'!$O$3:$Q$66,3,0)),VLOOKUP($A43,'5.kolo'!$L$3:$N$66,3,0))</f>
        <v>0</v>
      </c>
      <c r="BT43" s="333">
        <f t="shared" ca="1" si="23"/>
        <v>0</v>
      </c>
      <c r="BU43" s="415"/>
      <c r="BV43" s="442" t="str">
        <f ca="1">IF(BU43="","",CONCATENATE(TEXT($O43,"0"),IF(Start.listina!$Y$5="","",TEXT(500+$P43,"000")),TEXT(999999*RAND(),"000000")))</f>
        <v/>
      </c>
      <c r="BW43" s="333">
        <f t="shared" ca="1" si="32"/>
        <v>0</v>
      </c>
      <c r="BZ43" s="333">
        <f ca="1">IF(TYPE(VLOOKUP($A43,'6.kolo'!$L$3:$L$66,1,0))&gt;3,IF(TYPE(VLOOKUP($A43,'6.kolo'!$K$3:$L$66,2,0))&gt;3,0,VLOOKUP($A43,'6.kolo'!$K$3:$L$66,2,0)),VLOOKUP($A43,'6.kolo'!$L$3:$O$66,4,0))</f>
        <v>0</v>
      </c>
      <c r="CA43" s="333">
        <f ca="1">IF(TYPE(VLOOKUP($A43,'6.kolo'!$L$3:$L$66,1,0))&gt;3,IF(TYPE(VLOOKUP($A43,'6.kolo'!$O$3:$Q$66,2,0))&gt;3,0,VLOOKUP($A43,'6.kolo'!$O$3:$Q$66,2,0)),VLOOKUP($A43,'6.kolo'!$L$3:$N$66,2,0))</f>
        <v>0</v>
      </c>
      <c r="CB43" s="333">
        <f ca="1">IF(TYPE(VLOOKUP($A43,'6.kolo'!$L$3:$L$66,1,0))&gt;3,IF(TYPE(VLOOKUP($A43,'6.kolo'!$O$3:$Q$66,3,0))&gt;3,0,VLOOKUP($A43,'6.kolo'!$O$3:$Q$66,3,0)),VLOOKUP($A43,'6.kolo'!$L$3:$N$66,3,0))</f>
        <v>0</v>
      </c>
      <c r="CC43" s="333">
        <f t="shared" ca="1" si="24"/>
        <v>0</v>
      </c>
      <c r="CD43" s="415"/>
      <c r="CE43" s="442" t="str">
        <f ca="1">IF(CD43="","",CONCATENATE(TEXT($O43,"0"),IF(Start.listina!$Y$5="","",TEXT(500+$P43,"000")),TEXT(999999*RAND(),"000000")))</f>
        <v/>
      </c>
      <c r="CF43" s="333">
        <f t="shared" ca="1" si="33"/>
        <v>0</v>
      </c>
    </row>
    <row r="44" spans="1:84" x14ac:dyDescent="0.25">
      <c r="A44" s="333">
        <f>IF(OR(Start.listina!H52&gt;Start.listina!$K$7,Start.listina!G52=TRUE),"",Start.listina!H52)</f>
        <v>42</v>
      </c>
      <c r="B44" s="333">
        <f>IF($A44&gt;Start.listina!$K$7,"",INT(($A44-1)/Start.listina!$O$7)+1)</f>
        <v>2</v>
      </c>
      <c r="C44" s="439" t="str">
        <f>IF(OR(Start.listina!H52&gt;Start.listina!$K$7,Start.listina!G52=TRUE)," - ",Start.listina!AL52)</f>
        <v>42 SK Španielka Řepy - Procházka Josef</v>
      </c>
      <c r="D44" s="333">
        <f>IF(OR(A44&gt;Start.listina!$K$7,TYPE(VLOOKUP(A44,$V$3:$X$130,3,0))&gt;3),"",VLOOKUP(A44,$V$3:$X$130,3,0))</f>
        <v>50</v>
      </c>
      <c r="E44" s="440">
        <f ca="1">IF(A44&gt;Start.listina!$K$7,"",IF(MIN(F44:K44)&gt;Start.listina!$Y$4,D44,MIN(F44:K44)))</f>
        <v>50</v>
      </c>
      <c r="F44" s="333">
        <f ca="1">IF(TYPE(VLOOKUP(C44,Konečné_pořadí_1_16!$B$2:$D$17,3,0))&lt;4,VLOOKUP(C44,Konečné_pořadí_1_16!$B$2:$D$17,3,0),999)</f>
        <v>999</v>
      </c>
      <c r="G44" s="333">
        <f ca="1">IF(TYPE(VLOOKUP(C44,'KO64'!$D$4:$D$129,1,0))&lt;4,64,999)</f>
        <v>999</v>
      </c>
      <c r="H44" s="333">
        <f ca="1">IF(TYPE(VLOOKUP(C44,'KO32'!$D$4:$D$65,1,0))&lt;4,32,999)</f>
        <v>999</v>
      </c>
      <c r="I44" s="333">
        <f ca="1">IF(TYPE(VLOOKUP(C44,'KO16'!$D$4:$D$33,1,0))&lt;4,16,999)</f>
        <v>999</v>
      </c>
      <c r="J44" s="333">
        <f ca="1">IF(TYPE(VLOOKUP(C44,'KO8'!$D$4:$D$17,1,0))&lt;4,8,999)</f>
        <v>999</v>
      </c>
      <c r="K44" s="333">
        <f ca="1">IF(TYPE(VLOOKUP(C44,'KO4'!$D$4:$D$9,1,0))&lt;4,4,999)</f>
        <v>999</v>
      </c>
      <c r="M44" s="334">
        <v>42</v>
      </c>
      <c r="O44" s="333">
        <f t="shared" ca="1" si="8"/>
        <v>0</v>
      </c>
      <c r="P44" s="333">
        <f t="shared" ca="1" si="9"/>
        <v>-32</v>
      </c>
      <c r="Q44" s="333">
        <f t="shared" ca="1" si="26"/>
        <v>7</v>
      </c>
      <c r="R44" s="333">
        <f t="shared" ca="1" si="27"/>
        <v>0</v>
      </c>
      <c r="S44" s="333">
        <f t="shared" ca="1" si="10"/>
        <v>28</v>
      </c>
      <c r="T44" s="333">
        <f t="shared" ca="1" si="11"/>
        <v>0</v>
      </c>
      <c r="U44" s="415">
        <f t="shared" si="25"/>
        <v>42</v>
      </c>
      <c r="V44" s="415">
        <v>39</v>
      </c>
      <c r="W44" s="441" t="str">
        <f ca="1">IF($V44="","",CONCATENATE(TEXT($O44,"0"),IF(Start.listina!$Y$5="","",TEXT(500+$P44,"0000")),IF(Start.listina!$Y$6="","",CHOOSE(Start.listina!$Y$7,TEXT($Q44,"00"),CONCATENATE(TEXT($Q44,"00"),TEXT($S44,"000")), TEXT($R44,"00"))),TEXT(500+$P44,"0000"),IF(Start.listina!$Y$8="","",TEXT($T44,"0")),TEXT(999999*RAND(),"000000")))</f>
        <v>0070280468609935</v>
      </c>
      <c r="X44" s="417">
        <f t="shared" si="12"/>
        <v>42</v>
      </c>
      <c r="Y44" s="415">
        <f t="shared" ca="1" si="28"/>
        <v>1</v>
      </c>
      <c r="Z44" s="333">
        <f t="shared" ca="1" si="13"/>
        <v>17</v>
      </c>
      <c r="AA44" s="333">
        <f t="shared" ca="1" si="14"/>
        <v>35</v>
      </c>
      <c r="AB44" s="333">
        <f t="shared" ca="1" si="15"/>
        <v>47</v>
      </c>
      <c r="AC44" s="333">
        <f t="shared" ca="1" si="16"/>
        <v>37</v>
      </c>
      <c r="AD44" s="333">
        <f t="shared" ca="1" si="17"/>
        <v>0</v>
      </c>
      <c r="AE44" s="333">
        <f t="shared" ca="1" si="18"/>
        <v>0</v>
      </c>
      <c r="AG44" s="333">
        <f ca="1">IF(TYPE(VLOOKUP($A44,'1.kolo'!$L$3:$L$66,1,0))&gt;3,VLOOKUP($A44,'1.kolo'!$K$3:$L$66,2,0),VLOOKUP($A44,'1.kolo'!$L$3:$O$66,4,0))</f>
        <v>17</v>
      </c>
      <c r="AH44" s="333">
        <f ca="1">IF(TYPE(VLOOKUP($A44,'1.kolo'!$L$3:$L$66,1,0))&gt;3,VLOOKUP($A44,'1.kolo'!$O$3:$Q$66,2,0),VLOOKUP($A44,'1.kolo'!$L$3:$N$66,2,0))</f>
        <v>0</v>
      </c>
      <c r="AI44" s="333">
        <f ca="1">IF(TYPE(VLOOKUP($A44,'1.kolo'!$L$3:$L$66,1,0))&gt;3,VLOOKUP($A44,'1.kolo'!$O$3:$Q$66,3,0),VLOOKUP($A44,'1.kolo'!$L$3:$N$66,3,0))</f>
        <v>-9</v>
      </c>
      <c r="AJ44" s="333">
        <f t="shared" ca="1" si="19"/>
        <v>0</v>
      </c>
      <c r="AK44" s="333">
        <v>42</v>
      </c>
      <c r="AL44" s="442"/>
      <c r="AP44" s="333">
        <f ca="1">IF(TYPE(VLOOKUP($A44,'2.kolo'!$L$3:$L$66,1,0))&gt;3,IF(TYPE(VLOOKUP($A44,'2.kolo'!$K$3:$L$66,2,0))&gt;3,0,VLOOKUP($A44,'2.kolo'!$K$3:$L$66,2,0)),VLOOKUP($A44,'2.kolo'!$L$3:$O$66,4,0))</f>
        <v>35</v>
      </c>
      <c r="AQ44" s="333">
        <f ca="1">IF(TYPE(VLOOKUP($A44,'2.kolo'!$L$3:$L$66,1,0))&gt;3,IF(TYPE(VLOOKUP($A44,'2.kolo'!$O$3:$Q$66,2,0))&gt;3,0,VLOOKUP($A44,'2.kolo'!$O$3:$Q$66,2,0)),VLOOKUP($A44,'2.kolo'!$L$3:$N$66,2,0))</f>
        <v>0</v>
      </c>
      <c r="AR44" s="333">
        <f ca="1">IF(TYPE(VLOOKUP($A44,'2.kolo'!$L$3:$L$66,1,0))&gt;3,IF(TYPE(VLOOKUP($A44,'2.kolo'!$O$3:$Q$66,3,0))&gt;3,0,VLOOKUP($A44,'2.kolo'!$O$3:$Q$66,3,0)),VLOOKUP($A44,'2.kolo'!$L$3:$N$66,3,0))</f>
        <v>-5</v>
      </c>
      <c r="AS44" s="333">
        <f t="shared" ca="1" si="20"/>
        <v>0</v>
      </c>
      <c r="AT44" s="415">
        <v>38</v>
      </c>
      <c r="AU44" s="442" t="str">
        <f ca="1">IF(AT44="","",CONCATENATE(TEXT($O44,"0"),IF(Start.listina!$Y$5="","",TEXT(500+$P44,"000")),TEXT(999999*RAND(),"000000")))</f>
        <v>0331416</v>
      </c>
      <c r="AV44" s="333">
        <f t="shared" ca="1" si="29"/>
        <v>0</v>
      </c>
      <c r="AY44" s="333">
        <f ca="1">IF(TYPE(VLOOKUP($A44,'3.kolo'!$L$3:$L$66,1,0))&gt;3,IF(TYPE(VLOOKUP($A44,'3.kolo'!$K$3:$L$66,2,0))&gt;3,0,VLOOKUP($A44,'3.kolo'!$K$3:$L$66,2,0)),VLOOKUP($A44,'3.kolo'!$L$3:$O$66,4,0))</f>
        <v>47</v>
      </c>
      <c r="AZ44" s="333">
        <f ca="1">IF(TYPE(VLOOKUP($A44,'3.kolo'!$L$3:$L$66,1,0))&gt;3,IF(TYPE(VLOOKUP($A44,'3.kolo'!$O$3:$Q$66,2,0))&gt;3,0,VLOOKUP($A44,'3.kolo'!$O$3:$Q$66,2,0)),VLOOKUP($A44,'3.kolo'!$L$3:$N$66,2,0))</f>
        <v>0</v>
      </c>
      <c r="BA44" s="333">
        <f ca="1">IF(TYPE(VLOOKUP($A44,'3.kolo'!$L$3:$L$66,1,0))&gt;3,IF(TYPE(VLOOKUP($A44,'3.kolo'!$O$3:$Q$66,3,0))&gt;3,0,VLOOKUP($A44,'3.kolo'!$O$3:$Q$66,3,0)),VLOOKUP($A44,'3.kolo'!$L$3:$N$66,3,0))</f>
        <v>-6</v>
      </c>
      <c r="BB44" s="333">
        <f t="shared" ca="1" si="21"/>
        <v>0</v>
      </c>
      <c r="BC44" s="415">
        <v>33</v>
      </c>
      <c r="BD44" s="442" t="str">
        <f ca="1">IF(BC44="","",CONCATENATE(TEXT($O44,"0"),IF(Start.listina!$Y$5="","",TEXT(500+$P44,"000")),TEXT(999999*RAND(),"000000")))</f>
        <v>0868505</v>
      </c>
      <c r="BE44" s="333">
        <f t="shared" ca="1" si="30"/>
        <v>0</v>
      </c>
      <c r="BH44" s="333">
        <f ca="1">IF(TYPE(VLOOKUP($A44,'4.kolo'!$L$3:$L$66,1,0))&gt;3,IF(TYPE(VLOOKUP($A44,'4.kolo'!$K$3:$L$66,2,0))&gt;3,0,VLOOKUP($A44,'4.kolo'!$K$3:$L$66,2,0)),VLOOKUP($A44,'4.kolo'!$L$3:$O$66,4,0))</f>
        <v>37</v>
      </c>
      <c r="BI44" s="333">
        <f ca="1">IF(TYPE(VLOOKUP($A44,'4.kolo'!$L$3:$L$66,1,0))&gt;3,IF(TYPE(VLOOKUP($A44,'4.kolo'!$O$3:$Q$66,2,0))&gt;3,0,VLOOKUP($A44,'4.kolo'!$O$3:$Q$66,2,0)),VLOOKUP($A44,'4.kolo'!$L$3:$N$66,2,0))</f>
        <v>0</v>
      </c>
      <c r="BJ44" s="333">
        <f ca="1">IF(TYPE(VLOOKUP($A44,'4.kolo'!$L$3:$L$66,1,0))&gt;3,IF(TYPE(VLOOKUP($A44,'4.kolo'!$O$3:$Q$66,3,0))&gt;3,0,VLOOKUP($A44,'4.kolo'!$O$3:$Q$66,3,0)),VLOOKUP($A44,'4.kolo'!$L$3:$N$66,3,0))</f>
        <v>-12</v>
      </c>
      <c r="BK44" s="333">
        <f t="shared" ca="1" si="22"/>
        <v>0</v>
      </c>
      <c r="BL44" s="415">
        <v>8</v>
      </c>
      <c r="BM44" s="442" t="str">
        <f ca="1">IF(BL44="","",CONCATENATE(TEXT($O44,"0"),IF(Start.listina!$Y$5="","",TEXT(500+$P44,"000")),TEXT(999999*RAND(),"000000")))</f>
        <v>0060334</v>
      </c>
      <c r="BN44" s="333">
        <f t="shared" ca="1" si="31"/>
        <v>0</v>
      </c>
      <c r="BQ44" s="333">
        <f ca="1">IF(TYPE(VLOOKUP($A44,'5.kolo'!$L$3:$L$66,1,0))&gt;3,IF(TYPE(VLOOKUP($A44,'5.kolo'!$K$3:$L$66,2,0))&gt;3,0,VLOOKUP($A44,'5.kolo'!$K$3:$L$66,2,0)),VLOOKUP($A44,'5.kolo'!$L$3:$O$66,4,0))</f>
        <v>0</v>
      </c>
      <c r="BR44" s="333">
        <f ca="1">IF(TYPE(VLOOKUP($A44,'5.kolo'!$L$3:$L$66,1,0))&gt;3,IF(TYPE(VLOOKUP($A44,'5.kolo'!$O$3:$Q$66,2,0))&gt;3,0,VLOOKUP($A44,'5.kolo'!$O$3:$Q$66,2,0)),VLOOKUP($A44,'5.kolo'!$L$3:$N$66,2,0))</f>
        <v>0</v>
      </c>
      <c r="BS44" s="333">
        <f ca="1">IF(TYPE(VLOOKUP($A44,'5.kolo'!$L$3:$L$66,1,0))&gt;3,IF(TYPE(VLOOKUP($A44,'5.kolo'!$O$3:$Q$66,3,0))&gt;3,0,VLOOKUP($A44,'5.kolo'!$O$3:$Q$66,3,0)),VLOOKUP($A44,'5.kolo'!$L$3:$N$66,3,0))</f>
        <v>0</v>
      </c>
      <c r="BT44" s="333">
        <f t="shared" ca="1" si="23"/>
        <v>0</v>
      </c>
      <c r="BU44" s="415"/>
      <c r="BV44" s="442" t="str">
        <f ca="1">IF(BU44="","",CONCATENATE(TEXT($O44,"0"),IF(Start.listina!$Y$5="","",TEXT(500+$P44,"000")),TEXT(999999*RAND(),"000000")))</f>
        <v/>
      </c>
      <c r="BW44" s="333">
        <f t="shared" ca="1" si="32"/>
        <v>0</v>
      </c>
      <c r="BZ44" s="333">
        <f ca="1">IF(TYPE(VLOOKUP($A44,'6.kolo'!$L$3:$L$66,1,0))&gt;3,IF(TYPE(VLOOKUP($A44,'6.kolo'!$K$3:$L$66,2,0))&gt;3,0,VLOOKUP($A44,'6.kolo'!$K$3:$L$66,2,0)),VLOOKUP($A44,'6.kolo'!$L$3:$O$66,4,0))</f>
        <v>0</v>
      </c>
      <c r="CA44" s="333">
        <f ca="1">IF(TYPE(VLOOKUP($A44,'6.kolo'!$L$3:$L$66,1,0))&gt;3,IF(TYPE(VLOOKUP($A44,'6.kolo'!$O$3:$Q$66,2,0))&gt;3,0,VLOOKUP($A44,'6.kolo'!$O$3:$Q$66,2,0)),VLOOKUP($A44,'6.kolo'!$L$3:$N$66,2,0))</f>
        <v>0</v>
      </c>
      <c r="CB44" s="333">
        <f ca="1">IF(TYPE(VLOOKUP($A44,'6.kolo'!$L$3:$L$66,1,0))&gt;3,IF(TYPE(VLOOKUP($A44,'6.kolo'!$O$3:$Q$66,3,0))&gt;3,0,VLOOKUP($A44,'6.kolo'!$O$3:$Q$66,3,0)),VLOOKUP($A44,'6.kolo'!$L$3:$N$66,3,0))</f>
        <v>0</v>
      </c>
      <c r="CC44" s="333">
        <f t="shared" ca="1" si="24"/>
        <v>0</v>
      </c>
      <c r="CD44" s="415"/>
      <c r="CE44" s="442" t="str">
        <f ca="1">IF(CD44="","",CONCATENATE(TEXT($O44,"0"),IF(Start.listina!$Y$5="","",TEXT(500+$P44,"000")),TEXT(999999*RAND(),"000000")))</f>
        <v/>
      </c>
      <c r="CF44" s="333">
        <f t="shared" ca="1" si="33"/>
        <v>0</v>
      </c>
    </row>
    <row r="45" spans="1:84" x14ac:dyDescent="0.25">
      <c r="A45" s="333">
        <f>IF(OR(Start.listina!H53&gt;Start.listina!$K$7,Start.listina!G53=TRUE),"",Start.listina!H53)</f>
        <v>43</v>
      </c>
      <c r="B45" s="333">
        <f>IF($A45&gt;Start.listina!$K$7,"",INT(($A45-1)/Start.listina!$O$7)+1)</f>
        <v>2</v>
      </c>
      <c r="C45" s="439" t="str">
        <f>IF(OR(Start.listina!H53&gt;Start.listina!$K$7,Start.listina!G53=TRUE)," - ",Start.listina!AL53)</f>
        <v>43 SK Španielka Řepy - Holoubek Pavel</v>
      </c>
      <c r="D45" s="333">
        <f>IF(OR(A45&gt;Start.listina!$K$7,TYPE(VLOOKUP(A45,$V$3:$X$130,3,0))&gt;3),"",VLOOKUP(A45,$V$3:$X$130,3,0))</f>
        <v>7</v>
      </c>
      <c r="E45" s="440">
        <f ca="1">IF(A45&gt;Start.listina!$K$7,"",IF(MIN(F45:K45)&gt;Start.listina!$Y$4,D45,MIN(F45:K45)))</f>
        <v>15</v>
      </c>
      <c r="F45" s="333">
        <f ca="1">IF(TYPE(VLOOKUP(C45,Konečné_pořadí_1_16!$B$2:$D$17,3,0))&lt;4,VLOOKUP(C45,Konečné_pořadí_1_16!$B$2:$D$17,3,0),999)</f>
        <v>15</v>
      </c>
      <c r="G45" s="333">
        <f ca="1">IF(TYPE(VLOOKUP(C45,'KO64'!$D$4:$D$129,1,0))&lt;4,64,999)</f>
        <v>64</v>
      </c>
      <c r="H45" s="333">
        <f ca="1">IF(TYPE(VLOOKUP(C45,'KO32'!$D$4:$D$65,1,0))&lt;4,32,999)</f>
        <v>32</v>
      </c>
      <c r="I45" s="333">
        <f ca="1">IF(TYPE(VLOOKUP(C45,'KO16'!$D$4:$D$33,1,0))&lt;4,16,999)</f>
        <v>16</v>
      </c>
      <c r="J45" s="333">
        <f ca="1">IF(TYPE(VLOOKUP(C45,'KO8'!$D$4:$D$17,1,0))&lt;4,8,999)</f>
        <v>999</v>
      </c>
      <c r="K45" s="333">
        <f ca="1">IF(TYPE(VLOOKUP(C45,'KO4'!$D$4:$D$9,1,0))&lt;4,4,999)</f>
        <v>999</v>
      </c>
      <c r="M45" s="334">
        <v>43</v>
      </c>
      <c r="O45" s="333">
        <f t="shared" ca="1" si="8"/>
        <v>3</v>
      </c>
      <c r="P45" s="333">
        <f t="shared" ca="1" si="9"/>
        <v>17</v>
      </c>
      <c r="Q45" s="333">
        <f t="shared" ca="1" si="26"/>
        <v>10</v>
      </c>
      <c r="R45" s="333">
        <f t="shared" ca="1" si="27"/>
        <v>6</v>
      </c>
      <c r="S45" s="333">
        <f t="shared" ca="1" si="10"/>
        <v>33</v>
      </c>
      <c r="T45" s="333">
        <f t="shared" ca="1" si="11"/>
        <v>3</v>
      </c>
      <c r="U45" s="415">
        <f t="shared" si="25"/>
        <v>43</v>
      </c>
      <c r="V45" s="415">
        <v>47</v>
      </c>
      <c r="W45" s="441" t="str">
        <f ca="1">IF($V45="","",CONCATENATE(TEXT($O45,"0"),IF(Start.listina!$Y$5="","",TEXT(500+$P45,"0000")),IF(Start.listina!$Y$6="","",CHOOSE(Start.listina!$Y$7,TEXT($Q45,"00"),CONCATENATE(TEXT($Q45,"00"),TEXT($S45,"000")), TEXT($R45,"00"))),TEXT(500+$P45,"0000"),IF(Start.listina!$Y$8="","",TEXT($T45,"0")),TEXT(999999*RAND(),"000000")))</f>
        <v>3100330517868482</v>
      </c>
      <c r="X45" s="417">
        <f t="shared" si="12"/>
        <v>43</v>
      </c>
      <c r="Y45" s="415">
        <f t="shared" ca="1" si="28"/>
        <v>1</v>
      </c>
      <c r="Z45" s="333">
        <f t="shared" ca="1" si="13"/>
        <v>18</v>
      </c>
      <c r="AA45" s="333">
        <f t="shared" ca="1" si="14"/>
        <v>14</v>
      </c>
      <c r="AB45" s="333">
        <f t="shared" ca="1" si="15"/>
        <v>24</v>
      </c>
      <c r="AC45" s="333">
        <f t="shared" ca="1" si="16"/>
        <v>11</v>
      </c>
      <c r="AD45" s="333">
        <f t="shared" ca="1" si="17"/>
        <v>0</v>
      </c>
      <c r="AE45" s="333">
        <f t="shared" ca="1" si="18"/>
        <v>0</v>
      </c>
      <c r="AG45" s="333">
        <f ca="1">IF(TYPE(VLOOKUP($A45,'1.kolo'!$L$3:$L$66,1,0))&gt;3,VLOOKUP($A45,'1.kolo'!$K$3:$L$66,2,0),VLOOKUP($A45,'1.kolo'!$L$3:$O$66,4,0))</f>
        <v>18</v>
      </c>
      <c r="AH45" s="333">
        <f ca="1">IF(TYPE(VLOOKUP($A45,'1.kolo'!$L$3:$L$66,1,0))&gt;3,VLOOKUP($A45,'1.kolo'!$O$3:$Q$66,2,0),VLOOKUP($A45,'1.kolo'!$L$3:$N$66,2,0))</f>
        <v>1</v>
      </c>
      <c r="AI45" s="333">
        <f ca="1">IF(TYPE(VLOOKUP($A45,'1.kolo'!$L$3:$L$66,1,0))&gt;3,VLOOKUP($A45,'1.kolo'!$O$3:$Q$66,3,0),VLOOKUP($A45,'1.kolo'!$L$3:$N$66,3,0))</f>
        <v>2</v>
      </c>
      <c r="AJ45" s="333">
        <f t="shared" ca="1" si="19"/>
        <v>1</v>
      </c>
      <c r="AK45" s="333">
        <v>43</v>
      </c>
      <c r="AL45" s="442"/>
      <c r="AP45" s="333">
        <f ca="1">IF(TYPE(VLOOKUP($A45,'2.kolo'!$L$3:$L$66,1,0))&gt;3,IF(TYPE(VLOOKUP($A45,'2.kolo'!$K$3:$L$66,2,0))&gt;3,0,VLOOKUP($A45,'2.kolo'!$K$3:$L$66,2,0)),VLOOKUP($A45,'2.kolo'!$L$3:$O$66,4,0))</f>
        <v>14</v>
      </c>
      <c r="AQ45" s="333">
        <f ca="1">IF(TYPE(VLOOKUP($A45,'2.kolo'!$L$3:$L$66,1,0))&gt;3,IF(TYPE(VLOOKUP($A45,'2.kolo'!$O$3:$Q$66,2,0))&gt;3,0,VLOOKUP($A45,'2.kolo'!$O$3:$Q$66,2,0)),VLOOKUP($A45,'2.kolo'!$L$3:$N$66,2,0))</f>
        <v>1</v>
      </c>
      <c r="AR45" s="333">
        <f ca="1">IF(TYPE(VLOOKUP($A45,'2.kolo'!$L$3:$L$66,1,0))&gt;3,IF(TYPE(VLOOKUP($A45,'2.kolo'!$O$3:$Q$66,3,0))&gt;3,0,VLOOKUP($A45,'2.kolo'!$O$3:$Q$66,3,0)),VLOOKUP($A45,'2.kolo'!$L$3:$N$66,3,0))</f>
        <v>7</v>
      </c>
      <c r="AS45" s="333">
        <f t="shared" ca="1" si="20"/>
        <v>1</v>
      </c>
      <c r="AT45" s="415">
        <v>34</v>
      </c>
      <c r="AU45" s="442" t="str">
        <f ca="1">IF(AT45="","",CONCATENATE(TEXT($O45,"0"),IF(Start.listina!$Y$5="","",TEXT(500+$P45,"000")),TEXT(999999*RAND(),"000000")))</f>
        <v>3781266</v>
      </c>
      <c r="AV45" s="333">
        <f t="shared" ca="1" si="29"/>
        <v>0</v>
      </c>
      <c r="AY45" s="333">
        <f ca="1">IF(TYPE(VLOOKUP($A45,'3.kolo'!$L$3:$L$66,1,0))&gt;3,IF(TYPE(VLOOKUP($A45,'3.kolo'!$K$3:$L$66,2,0))&gt;3,0,VLOOKUP($A45,'3.kolo'!$K$3:$L$66,2,0)),VLOOKUP($A45,'3.kolo'!$L$3:$O$66,4,0))</f>
        <v>24</v>
      </c>
      <c r="AZ45" s="333">
        <f ca="1">IF(TYPE(VLOOKUP($A45,'3.kolo'!$L$3:$L$66,1,0))&gt;3,IF(TYPE(VLOOKUP($A45,'3.kolo'!$O$3:$Q$66,2,0))&gt;3,0,VLOOKUP($A45,'3.kolo'!$O$3:$Q$66,2,0)),VLOOKUP($A45,'3.kolo'!$L$3:$N$66,2,0))</f>
        <v>1</v>
      </c>
      <c r="BA45" s="333">
        <f ca="1">IF(TYPE(VLOOKUP($A45,'3.kolo'!$L$3:$L$66,1,0))&gt;3,IF(TYPE(VLOOKUP($A45,'3.kolo'!$O$3:$Q$66,3,0))&gt;3,0,VLOOKUP($A45,'3.kolo'!$O$3:$Q$66,3,0)),VLOOKUP($A45,'3.kolo'!$L$3:$N$66,3,0))</f>
        <v>13</v>
      </c>
      <c r="BB45" s="333">
        <f t="shared" ca="1" si="21"/>
        <v>1</v>
      </c>
      <c r="BC45" s="415">
        <v>36</v>
      </c>
      <c r="BD45" s="442" t="str">
        <f ca="1">IF(BC45="","",CONCATENATE(TEXT($O45,"0"),IF(Start.listina!$Y$5="","",TEXT(500+$P45,"000")),TEXT(999999*RAND(),"000000")))</f>
        <v>3346950</v>
      </c>
      <c r="BE45" s="333">
        <f t="shared" ca="1" si="30"/>
        <v>0</v>
      </c>
      <c r="BH45" s="333">
        <f ca="1">IF(TYPE(VLOOKUP($A45,'4.kolo'!$L$3:$L$66,1,0))&gt;3,IF(TYPE(VLOOKUP($A45,'4.kolo'!$K$3:$L$66,2,0))&gt;3,0,VLOOKUP($A45,'4.kolo'!$K$3:$L$66,2,0)),VLOOKUP($A45,'4.kolo'!$L$3:$O$66,4,0))</f>
        <v>11</v>
      </c>
      <c r="BI45" s="333">
        <f ca="1">IF(TYPE(VLOOKUP($A45,'4.kolo'!$L$3:$L$66,1,0))&gt;3,IF(TYPE(VLOOKUP($A45,'4.kolo'!$O$3:$Q$66,2,0))&gt;3,0,VLOOKUP($A45,'4.kolo'!$O$3:$Q$66,2,0)),VLOOKUP($A45,'4.kolo'!$L$3:$N$66,2,0))</f>
        <v>0</v>
      </c>
      <c r="BJ45" s="333">
        <f ca="1">IF(TYPE(VLOOKUP($A45,'4.kolo'!$L$3:$L$66,1,0))&gt;3,IF(TYPE(VLOOKUP($A45,'4.kolo'!$O$3:$Q$66,3,0))&gt;3,0,VLOOKUP($A45,'4.kolo'!$O$3:$Q$66,3,0)),VLOOKUP($A45,'4.kolo'!$L$3:$N$66,3,0))</f>
        <v>-5</v>
      </c>
      <c r="BK45" s="333">
        <f t="shared" ca="1" si="22"/>
        <v>0</v>
      </c>
      <c r="BL45" s="415">
        <v>34</v>
      </c>
      <c r="BM45" s="442" t="str">
        <f ca="1">IF(BL45="","",CONCATENATE(TEXT($O45,"0"),IF(Start.listina!$Y$5="","",TEXT(500+$P45,"000")),TEXT(999999*RAND(),"000000")))</f>
        <v>3654210</v>
      </c>
      <c r="BN45" s="333">
        <f t="shared" ca="1" si="31"/>
        <v>0</v>
      </c>
      <c r="BQ45" s="333">
        <f ca="1">IF(TYPE(VLOOKUP($A45,'5.kolo'!$L$3:$L$66,1,0))&gt;3,IF(TYPE(VLOOKUP($A45,'5.kolo'!$K$3:$L$66,2,0))&gt;3,0,VLOOKUP($A45,'5.kolo'!$K$3:$L$66,2,0)),VLOOKUP($A45,'5.kolo'!$L$3:$O$66,4,0))</f>
        <v>0</v>
      </c>
      <c r="BR45" s="333">
        <f ca="1">IF(TYPE(VLOOKUP($A45,'5.kolo'!$L$3:$L$66,1,0))&gt;3,IF(TYPE(VLOOKUP($A45,'5.kolo'!$O$3:$Q$66,2,0))&gt;3,0,VLOOKUP($A45,'5.kolo'!$O$3:$Q$66,2,0)),VLOOKUP($A45,'5.kolo'!$L$3:$N$66,2,0))</f>
        <v>0</v>
      </c>
      <c r="BS45" s="333">
        <f ca="1">IF(TYPE(VLOOKUP($A45,'5.kolo'!$L$3:$L$66,1,0))&gt;3,IF(TYPE(VLOOKUP($A45,'5.kolo'!$O$3:$Q$66,3,0))&gt;3,0,VLOOKUP($A45,'5.kolo'!$O$3:$Q$66,3,0)),VLOOKUP($A45,'5.kolo'!$L$3:$N$66,3,0))</f>
        <v>0</v>
      </c>
      <c r="BT45" s="333">
        <f t="shared" ca="1" si="23"/>
        <v>0</v>
      </c>
      <c r="BU45" s="415"/>
      <c r="BV45" s="442" t="str">
        <f ca="1">IF(BU45="","",CONCATENATE(TEXT($O45,"0"),IF(Start.listina!$Y$5="","",TEXT(500+$P45,"000")),TEXT(999999*RAND(),"000000")))</f>
        <v/>
      </c>
      <c r="BW45" s="333">
        <f t="shared" ca="1" si="32"/>
        <v>0</v>
      </c>
      <c r="BZ45" s="333">
        <f ca="1">IF(TYPE(VLOOKUP($A45,'6.kolo'!$L$3:$L$66,1,0))&gt;3,IF(TYPE(VLOOKUP($A45,'6.kolo'!$K$3:$L$66,2,0))&gt;3,0,VLOOKUP($A45,'6.kolo'!$K$3:$L$66,2,0)),VLOOKUP($A45,'6.kolo'!$L$3:$O$66,4,0))</f>
        <v>0</v>
      </c>
      <c r="CA45" s="333">
        <f ca="1">IF(TYPE(VLOOKUP($A45,'6.kolo'!$L$3:$L$66,1,0))&gt;3,IF(TYPE(VLOOKUP($A45,'6.kolo'!$O$3:$Q$66,2,0))&gt;3,0,VLOOKUP($A45,'6.kolo'!$O$3:$Q$66,2,0)),VLOOKUP($A45,'6.kolo'!$L$3:$N$66,2,0))</f>
        <v>0</v>
      </c>
      <c r="CB45" s="333">
        <f ca="1">IF(TYPE(VLOOKUP($A45,'6.kolo'!$L$3:$L$66,1,0))&gt;3,IF(TYPE(VLOOKUP($A45,'6.kolo'!$O$3:$Q$66,3,0))&gt;3,0,VLOOKUP($A45,'6.kolo'!$O$3:$Q$66,3,0)),VLOOKUP($A45,'6.kolo'!$L$3:$N$66,3,0))</f>
        <v>0</v>
      </c>
      <c r="CC45" s="333">
        <f t="shared" ca="1" si="24"/>
        <v>0</v>
      </c>
      <c r="CD45" s="415"/>
      <c r="CE45" s="442" t="str">
        <f ca="1">IF(CD45="","",CONCATENATE(TEXT($O45,"0"),IF(Start.listina!$Y$5="","",TEXT(500+$P45,"000")),TEXT(999999*RAND(),"000000")))</f>
        <v/>
      </c>
      <c r="CF45" s="333">
        <f t="shared" ca="1" si="33"/>
        <v>0</v>
      </c>
    </row>
    <row r="46" spans="1:84" x14ac:dyDescent="0.25">
      <c r="A46" s="333">
        <f>IF(OR(Start.listina!H54&gt;Start.listina!$K$7,Start.listina!G54=TRUE),"",Start.listina!H54)</f>
        <v>44</v>
      </c>
      <c r="B46" s="333">
        <f>IF($A46&gt;Start.listina!$K$7,"",INT(($A46-1)/Start.listina!$O$7)+1)</f>
        <v>2</v>
      </c>
      <c r="C46" s="439" t="str">
        <f>IF(OR(Start.listina!H54&gt;Start.listina!$K$7,Start.listina!G54=TRUE)," - ",Start.listina!AL54)</f>
        <v>44 JAPKO - Vais Martin</v>
      </c>
      <c r="D46" s="333">
        <f>IF(OR(A46&gt;Start.listina!$K$7,TYPE(VLOOKUP(A46,$V$3:$X$130,3,0))&gt;3),"",VLOOKUP(A46,$V$3:$X$130,3,0))</f>
        <v>17</v>
      </c>
      <c r="E46" s="440">
        <f ca="1">IF(A46&gt;Start.listina!$K$7,"",IF(MIN(F46:K46)&gt;Start.listina!$Y$4,D46,MIN(F46:K46)))</f>
        <v>17</v>
      </c>
      <c r="F46" s="333">
        <f ca="1">IF(TYPE(VLOOKUP(C46,Konečné_pořadí_1_16!$B$2:$D$17,3,0))&lt;4,VLOOKUP(C46,Konečné_pořadí_1_16!$B$2:$D$17,3,0),999)</f>
        <v>999</v>
      </c>
      <c r="G46" s="333">
        <f ca="1">IF(TYPE(VLOOKUP(C46,'KO64'!$D$4:$D$129,1,0))&lt;4,64,999)</f>
        <v>999</v>
      </c>
      <c r="H46" s="333">
        <f ca="1">IF(TYPE(VLOOKUP(C46,'KO32'!$D$4:$D$65,1,0))&lt;4,32,999)</f>
        <v>999</v>
      </c>
      <c r="I46" s="333">
        <f ca="1">IF(TYPE(VLOOKUP(C46,'KO16'!$D$4:$D$33,1,0))&lt;4,16,999)</f>
        <v>999</v>
      </c>
      <c r="J46" s="333">
        <f ca="1">IF(TYPE(VLOOKUP(C46,'KO8'!$D$4:$D$17,1,0))&lt;4,8,999)</f>
        <v>999</v>
      </c>
      <c r="K46" s="333">
        <f ca="1">IF(TYPE(VLOOKUP(C46,'KO4'!$D$4:$D$9,1,0))&lt;4,4,999)</f>
        <v>999</v>
      </c>
      <c r="M46" s="334">
        <v>44</v>
      </c>
      <c r="O46" s="333">
        <f t="shared" ca="1" si="8"/>
        <v>3</v>
      </c>
      <c r="P46" s="333">
        <f t="shared" ca="1" si="9"/>
        <v>18</v>
      </c>
      <c r="Q46" s="333">
        <f t="shared" ca="1" si="26"/>
        <v>6</v>
      </c>
      <c r="R46" s="333">
        <f t="shared" ca="1" si="27"/>
        <v>3</v>
      </c>
      <c r="S46" s="333">
        <f t="shared" ca="1" si="10"/>
        <v>31</v>
      </c>
      <c r="T46" s="333">
        <f t="shared" ca="1" si="11"/>
        <v>3</v>
      </c>
      <c r="U46" s="415">
        <f t="shared" si="25"/>
        <v>44</v>
      </c>
      <c r="V46" s="415">
        <v>26</v>
      </c>
      <c r="W46" s="441" t="str">
        <f ca="1">IF($V46="","",CONCATENATE(TEXT($O46,"0"),IF(Start.listina!$Y$5="","",TEXT(500+$P46,"0000")),IF(Start.listina!$Y$6="","",CHOOSE(Start.listina!$Y$7,TEXT($Q46,"00"),CONCATENATE(TEXT($Q46,"00"),TEXT($S46,"000")), TEXT($R46,"00"))),TEXT(500+$P46,"0000"),IF(Start.listina!$Y$8="","",TEXT($T46,"0")),TEXT(999999*RAND(),"000000")))</f>
        <v>3060310518614692</v>
      </c>
      <c r="X46" s="417">
        <f t="shared" si="12"/>
        <v>44</v>
      </c>
      <c r="Y46" s="415">
        <f t="shared" ca="1" si="28"/>
        <v>1</v>
      </c>
      <c r="Z46" s="333">
        <f t="shared" ca="1" si="13"/>
        <v>19</v>
      </c>
      <c r="AA46" s="333" t="str">
        <f t="shared" ca="1" si="14"/>
        <v/>
      </c>
      <c r="AB46" s="333">
        <f t="shared" ca="1" si="15"/>
        <v>38</v>
      </c>
      <c r="AC46" s="333">
        <f t="shared" ca="1" si="16"/>
        <v>13</v>
      </c>
      <c r="AD46" s="333">
        <f t="shared" ca="1" si="17"/>
        <v>0</v>
      </c>
      <c r="AE46" s="333">
        <f t="shared" ca="1" si="18"/>
        <v>0</v>
      </c>
      <c r="AG46" s="333">
        <f ca="1">IF(TYPE(VLOOKUP($A46,'1.kolo'!$L$3:$L$66,1,0))&gt;3,VLOOKUP($A46,'1.kolo'!$K$3:$L$66,2,0),VLOOKUP($A46,'1.kolo'!$L$3:$O$66,4,0))</f>
        <v>19</v>
      </c>
      <c r="AH46" s="333">
        <f ca="1">IF(TYPE(VLOOKUP($A46,'1.kolo'!$L$3:$L$66,1,0))&gt;3,VLOOKUP($A46,'1.kolo'!$O$3:$Q$66,2,0),VLOOKUP($A46,'1.kolo'!$L$3:$N$66,2,0))</f>
        <v>0</v>
      </c>
      <c r="AI46" s="333">
        <f ca="1">IF(TYPE(VLOOKUP($A46,'1.kolo'!$L$3:$L$66,1,0))&gt;3,VLOOKUP($A46,'1.kolo'!$O$3:$Q$66,3,0),VLOOKUP($A46,'1.kolo'!$L$3:$N$66,3,0))</f>
        <v>-1</v>
      </c>
      <c r="AJ46" s="333">
        <f t="shared" ca="1" si="19"/>
        <v>0</v>
      </c>
      <c r="AK46" s="333">
        <v>44</v>
      </c>
      <c r="AL46" s="442"/>
      <c r="AP46" s="333" t="str">
        <f ca="1">IF(TYPE(VLOOKUP($A46,'2.kolo'!$L$3:$L$66,1,0))&gt;3,IF(TYPE(VLOOKUP($A46,'2.kolo'!$K$3:$L$66,2,0))&gt;3,0,VLOOKUP($A46,'2.kolo'!$K$3:$L$66,2,0)),VLOOKUP($A46,'2.kolo'!$L$3:$O$66,4,0))</f>
        <v/>
      </c>
      <c r="AQ46" s="333">
        <f ca="1">IF(TYPE(VLOOKUP($A46,'2.kolo'!$L$3:$L$66,1,0))&gt;3,IF(TYPE(VLOOKUP($A46,'2.kolo'!$O$3:$Q$66,2,0))&gt;3,0,VLOOKUP($A46,'2.kolo'!$O$3:$Q$66,2,0)),VLOOKUP($A46,'2.kolo'!$L$3:$N$66,2,0))</f>
        <v>1</v>
      </c>
      <c r="AR46" s="333">
        <f ca="1">IF(TYPE(VLOOKUP($A46,'2.kolo'!$L$3:$L$66,1,0))&gt;3,IF(TYPE(VLOOKUP($A46,'2.kolo'!$O$3:$Q$66,3,0))&gt;3,0,VLOOKUP($A46,'2.kolo'!$O$3:$Q$66,3,0)),VLOOKUP($A46,'2.kolo'!$L$3:$N$66,3,0))</f>
        <v>6</v>
      </c>
      <c r="AS46" s="333">
        <f t="shared" ca="1" si="20"/>
        <v>1</v>
      </c>
      <c r="AT46" s="415">
        <v>31</v>
      </c>
      <c r="AU46" s="442" t="str">
        <f ca="1">IF(AT46="","",CONCATENATE(TEXT($O46,"0"),IF(Start.listina!$Y$5="","",TEXT(500+$P46,"000")),TEXT(999999*RAND(),"000000")))</f>
        <v>3725059</v>
      </c>
      <c r="AV46" s="333">
        <f t="shared" ca="1" si="29"/>
        <v>0</v>
      </c>
      <c r="AY46" s="333">
        <f ca="1">IF(TYPE(VLOOKUP($A46,'3.kolo'!$L$3:$L$66,1,0))&gt;3,IF(TYPE(VLOOKUP($A46,'3.kolo'!$K$3:$L$66,2,0))&gt;3,0,VLOOKUP($A46,'3.kolo'!$K$3:$L$66,2,0)),VLOOKUP($A46,'3.kolo'!$L$3:$O$66,4,0))</f>
        <v>38</v>
      </c>
      <c r="AZ46" s="333">
        <f ca="1">IF(TYPE(VLOOKUP($A46,'3.kolo'!$L$3:$L$66,1,0))&gt;3,IF(TYPE(VLOOKUP($A46,'3.kolo'!$O$3:$Q$66,2,0))&gt;3,0,VLOOKUP($A46,'3.kolo'!$O$3:$Q$66,2,0)),VLOOKUP($A46,'3.kolo'!$L$3:$N$66,2,0))</f>
        <v>1</v>
      </c>
      <c r="BA46" s="333">
        <f ca="1">IF(TYPE(VLOOKUP($A46,'3.kolo'!$L$3:$L$66,1,0))&gt;3,IF(TYPE(VLOOKUP($A46,'3.kolo'!$O$3:$Q$66,3,0))&gt;3,0,VLOOKUP($A46,'3.kolo'!$O$3:$Q$66,3,0)),VLOOKUP($A46,'3.kolo'!$L$3:$N$66,3,0))</f>
        <v>1</v>
      </c>
      <c r="BB46" s="333">
        <f t="shared" ca="1" si="21"/>
        <v>1</v>
      </c>
      <c r="BC46" s="415">
        <v>46</v>
      </c>
      <c r="BD46" s="442" t="str">
        <f ca="1">IF(BC46="","",CONCATENATE(TEXT($O46,"0"),IF(Start.listina!$Y$5="","",TEXT(500+$P46,"000")),TEXT(999999*RAND(),"000000")))</f>
        <v>3783697</v>
      </c>
      <c r="BE46" s="333">
        <f t="shared" ca="1" si="30"/>
        <v>0</v>
      </c>
      <c r="BH46" s="333">
        <f ca="1">IF(TYPE(VLOOKUP($A46,'4.kolo'!$L$3:$L$66,1,0))&gt;3,IF(TYPE(VLOOKUP($A46,'4.kolo'!$K$3:$L$66,2,0))&gt;3,0,VLOOKUP($A46,'4.kolo'!$K$3:$L$66,2,0)),VLOOKUP($A46,'4.kolo'!$L$3:$O$66,4,0))</f>
        <v>13</v>
      </c>
      <c r="BI46" s="333">
        <f ca="1">IF(TYPE(VLOOKUP($A46,'4.kolo'!$L$3:$L$66,1,0))&gt;3,IF(TYPE(VLOOKUP($A46,'4.kolo'!$O$3:$Q$66,2,0))&gt;3,0,VLOOKUP($A46,'4.kolo'!$O$3:$Q$66,2,0)),VLOOKUP($A46,'4.kolo'!$L$3:$N$66,2,0))</f>
        <v>1</v>
      </c>
      <c r="BJ46" s="333">
        <f ca="1">IF(TYPE(VLOOKUP($A46,'4.kolo'!$L$3:$L$66,1,0))&gt;3,IF(TYPE(VLOOKUP($A46,'4.kolo'!$O$3:$Q$66,3,0))&gt;3,0,VLOOKUP($A46,'4.kolo'!$O$3:$Q$66,3,0)),VLOOKUP($A46,'4.kolo'!$L$3:$N$66,3,0))</f>
        <v>12</v>
      </c>
      <c r="BK46" s="333">
        <f t="shared" ca="1" si="22"/>
        <v>1</v>
      </c>
      <c r="BL46" s="415">
        <v>38</v>
      </c>
      <c r="BM46" s="442" t="str">
        <f ca="1">IF(BL46="","",CONCATENATE(TEXT($O46,"0"),IF(Start.listina!$Y$5="","",TEXT(500+$P46,"000")),TEXT(999999*RAND(),"000000")))</f>
        <v>3844447</v>
      </c>
      <c r="BN46" s="333">
        <f t="shared" ca="1" si="31"/>
        <v>0</v>
      </c>
      <c r="BQ46" s="333">
        <f ca="1">IF(TYPE(VLOOKUP($A46,'5.kolo'!$L$3:$L$66,1,0))&gt;3,IF(TYPE(VLOOKUP($A46,'5.kolo'!$K$3:$L$66,2,0))&gt;3,0,VLOOKUP($A46,'5.kolo'!$K$3:$L$66,2,0)),VLOOKUP($A46,'5.kolo'!$L$3:$O$66,4,0))</f>
        <v>0</v>
      </c>
      <c r="BR46" s="333">
        <f ca="1">IF(TYPE(VLOOKUP($A46,'5.kolo'!$L$3:$L$66,1,0))&gt;3,IF(TYPE(VLOOKUP($A46,'5.kolo'!$O$3:$Q$66,2,0))&gt;3,0,VLOOKUP($A46,'5.kolo'!$O$3:$Q$66,2,0)),VLOOKUP($A46,'5.kolo'!$L$3:$N$66,2,0))</f>
        <v>0</v>
      </c>
      <c r="BS46" s="333">
        <f ca="1">IF(TYPE(VLOOKUP($A46,'5.kolo'!$L$3:$L$66,1,0))&gt;3,IF(TYPE(VLOOKUP($A46,'5.kolo'!$O$3:$Q$66,3,0))&gt;3,0,VLOOKUP($A46,'5.kolo'!$O$3:$Q$66,3,0)),VLOOKUP($A46,'5.kolo'!$L$3:$N$66,3,0))</f>
        <v>0</v>
      </c>
      <c r="BT46" s="333">
        <f t="shared" ca="1" si="23"/>
        <v>0</v>
      </c>
      <c r="BU46" s="415"/>
      <c r="BV46" s="442" t="str">
        <f ca="1">IF(BU46="","",CONCATENATE(TEXT($O46,"0"),IF(Start.listina!$Y$5="","",TEXT(500+$P46,"000")),TEXT(999999*RAND(),"000000")))</f>
        <v/>
      </c>
      <c r="BW46" s="333">
        <f t="shared" ca="1" si="32"/>
        <v>0</v>
      </c>
      <c r="BZ46" s="333">
        <f ca="1">IF(TYPE(VLOOKUP($A46,'6.kolo'!$L$3:$L$66,1,0))&gt;3,IF(TYPE(VLOOKUP($A46,'6.kolo'!$K$3:$L$66,2,0))&gt;3,0,VLOOKUP($A46,'6.kolo'!$K$3:$L$66,2,0)),VLOOKUP($A46,'6.kolo'!$L$3:$O$66,4,0))</f>
        <v>0</v>
      </c>
      <c r="CA46" s="333">
        <f ca="1">IF(TYPE(VLOOKUP($A46,'6.kolo'!$L$3:$L$66,1,0))&gt;3,IF(TYPE(VLOOKUP($A46,'6.kolo'!$O$3:$Q$66,2,0))&gt;3,0,VLOOKUP($A46,'6.kolo'!$O$3:$Q$66,2,0)),VLOOKUP($A46,'6.kolo'!$L$3:$N$66,2,0))</f>
        <v>0</v>
      </c>
      <c r="CB46" s="333">
        <f ca="1">IF(TYPE(VLOOKUP($A46,'6.kolo'!$L$3:$L$66,1,0))&gt;3,IF(TYPE(VLOOKUP($A46,'6.kolo'!$O$3:$Q$66,3,0))&gt;3,0,VLOOKUP($A46,'6.kolo'!$O$3:$Q$66,3,0)),VLOOKUP($A46,'6.kolo'!$L$3:$N$66,3,0))</f>
        <v>0</v>
      </c>
      <c r="CC46" s="333">
        <f t="shared" ca="1" si="24"/>
        <v>0</v>
      </c>
      <c r="CD46" s="415"/>
      <c r="CE46" s="442" t="str">
        <f ca="1">IF(CD46="","",CONCATENATE(TEXT($O46,"0"),IF(Start.listina!$Y$5="","",TEXT(500+$P46,"000")),TEXT(999999*RAND(),"000000")))</f>
        <v/>
      </c>
      <c r="CF46" s="333">
        <f t="shared" ca="1" si="33"/>
        <v>0</v>
      </c>
    </row>
    <row r="47" spans="1:84" x14ac:dyDescent="0.25">
      <c r="A47" s="333">
        <f>IF(OR(Start.listina!H55&gt;Start.listina!$K$7,Start.listina!G55=TRUE),"",Start.listina!H55)</f>
        <v>45</v>
      </c>
      <c r="B47" s="333">
        <f>IF($A47&gt;Start.listina!$K$7,"",INT(($A47-1)/Start.listina!$O$7)+1)</f>
        <v>2</v>
      </c>
      <c r="C47" s="439" t="str">
        <f>IF(OR(Start.listina!H55&gt;Start.listina!$K$7,Start.listina!G55=TRUE)," - ",Start.listina!AL55)</f>
        <v>45 Spolek Park Grébovka - Kremlík Miroslav</v>
      </c>
      <c r="D47" s="333">
        <f>IF(OR(A47&gt;Start.listina!$K$7,TYPE(VLOOKUP(A47,$V$3:$X$130,3,0))&gt;3),"",VLOOKUP(A47,$V$3:$X$130,3,0))</f>
        <v>5</v>
      </c>
      <c r="E47" s="440">
        <f ca="1">IF(A47&gt;Start.listina!$K$7,"",IF(MIN(F47:K47)&gt;Start.listina!$Y$4,D47,MIN(F47:K47)))</f>
        <v>14</v>
      </c>
      <c r="F47" s="333">
        <f ca="1">IF(TYPE(VLOOKUP(C47,Konečné_pořadí_1_16!$B$2:$D$17,3,0))&lt;4,VLOOKUP(C47,Konečné_pořadí_1_16!$B$2:$D$17,3,0),999)</f>
        <v>14</v>
      </c>
      <c r="G47" s="333">
        <f ca="1">IF(TYPE(VLOOKUP(C47,'KO64'!$D$4:$D$129,1,0))&lt;4,64,999)</f>
        <v>64</v>
      </c>
      <c r="H47" s="333">
        <f ca="1">IF(TYPE(VLOOKUP(C47,'KO32'!$D$4:$D$65,1,0))&lt;4,32,999)</f>
        <v>32</v>
      </c>
      <c r="I47" s="333">
        <f ca="1">IF(TYPE(VLOOKUP(C47,'KO16'!$D$4:$D$33,1,0))&lt;4,16,999)</f>
        <v>16</v>
      </c>
      <c r="J47" s="333">
        <f ca="1">IF(TYPE(VLOOKUP(C47,'KO8'!$D$4:$D$17,1,0))&lt;4,8,999)</f>
        <v>999</v>
      </c>
      <c r="K47" s="333">
        <f ca="1">IF(TYPE(VLOOKUP(C47,'KO4'!$D$4:$D$9,1,0))&lt;4,4,999)</f>
        <v>999</v>
      </c>
      <c r="M47" s="334">
        <v>45</v>
      </c>
      <c r="O47" s="333">
        <f t="shared" ca="1" si="8"/>
        <v>3</v>
      </c>
      <c r="P47" s="333">
        <f t="shared" ca="1" si="9"/>
        <v>2</v>
      </c>
      <c r="Q47" s="333">
        <f t="shared" ca="1" si="26"/>
        <v>11</v>
      </c>
      <c r="R47" s="333">
        <f t="shared" ca="1" si="27"/>
        <v>7</v>
      </c>
      <c r="S47" s="333">
        <f t="shared" ca="1" si="10"/>
        <v>36</v>
      </c>
      <c r="T47" s="333">
        <f t="shared" ca="1" si="11"/>
        <v>3</v>
      </c>
      <c r="U47" s="415">
        <f t="shared" si="25"/>
        <v>45</v>
      </c>
      <c r="V47" s="415">
        <v>37</v>
      </c>
      <c r="W47" s="441" t="str">
        <f ca="1">IF($V47="","",CONCATENATE(TEXT($O47,"0"),IF(Start.listina!$Y$5="","",TEXT(500+$P47,"0000")),IF(Start.listina!$Y$6="","",CHOOSE(Start.listina!$Y$7,TEXT($Q47,"00"),CONCATENATE(TEXT($Q47,"00"),TEXT($S47,"000")), TEXT($R47,"00"))),TEXT(500+$P47,"0000"),IF(Start.listina!$Y$8="","",TEXT($T47,"0")),TEXT(999999*RAND(),"000000")))</f>
        <v>3110360502666366</v>
      </c>
      <c r="X47" s="417">
        <f t="shared" si="12"/>
        <v>45</v>
      </c>
      <c r="Y47" s="415">
        <f t="shared" ca="1" si="28"/>
        <v>1</v>
      </c>
      <c r="Z47" s="333">
        <f t="shared" ca="1" si="13"/>
        <v>20</v>
      </c>
      <c r="AA47" s="333">
        <f t="shared" ca="1" si="14"/>
        <v>8</v>
      </c>
      <c r="AB47" s="333">
        <f t="shared" ca="1" si="15"/>
        <v>6</v>
      </c>
      <c r="AC47" s="333">
        <f t="shared" ca="1" si="16"/>
        <v>31</v>
      </c>
      <c r="AD47" s="333">
        <f t="shared" ca="1" si="17"/>
        <v>0</v>
      </c>
      <c r="AE47" s="333">
        <f t="shared" ca="1" si="18"/>
        <v>0</v>
      </c>
      <c r="AG47" s="333">
        <f ca="1">IF(TYPE(VLOOKUP($A47,'1.kolo'!$L$3:$L$66,1,0))&gt;3,VLOOKUP($A47,'1.kolo'!$K$3:$L$66,2,0),VLOOKUP($A47,'1.kolo'!$L$3:$O$66,4,0))</f>
        <v>20</v>
      </c>
      <c r="AH47" s="333">
        <f ca="1">IF(TYPE(VLOOKUP($A47,'1.kolo'!$L$3:$L$66,1,0))&gt;3,VLOOKUP($A47,'1.kolo'!$O$3:$Q$66,2,0),VLOOKUP($A47,'1.kolo'!$L$3:$N$66,2,0))</f>
        <v>1</v>
      </c>
      <c r="AI47" s="333">
        <f ca="1">IF(TYPE(VLOOKUP($A47,'1.kolo'!$L$3:$L$66,1,0))&gt;3,VLOOKUP($A47,'1.kolo'!$O$3:$Q$66,3,0),VLOOKUP($A47,'1.kolo'!$L$3:$N$66,3,0))</f>
        <v>1</v>
      </c>
      <c r="AJ47" s="333">
        <f t="shared" ca="1" si="19"/>
        <v>1</v>
      </c>
      <c r="AK47" s="333">
        <v>45</v>
      </c>
      <c r="AL47" s="442"/>
      <c r="AP47" s="333">
        <f ca="1">IF(TYPE(VLOOKUP($A47,'2.kolo'!$L$3:$L$66,1,0))&gt;3,IF(TYPE(VLOOKUP($A47,'2.kolo'!$K$3:$L$66,2,0))&gt;3,0,VLOOKUP($A47,'2.kolo'!$K$3:$L$66,2,0)),VLOOKUP($A47,'2.kolo'!$L$3:$O$66,4,0))</f>
        <v>8</v>
      </c>
      <c r="AQ47" s="333">
        <f ca="1">IF(TYPE(VLOOKUP($A47,'2.kolo'!$L$3:$L$66,1,0))&gt;3,IF(TYPE(VLOOKUP($A47,'2.kolo'!$O$3:$Q$66,2,0))&gt;3,0,VLOOKUP($A47,'2.kolo'!$O$3:$Q$66,2,0)),VLOOKUP($A47,'2.kolo'!$L$3:$N$66,2,0))</f>
        <v>1</v>
      </c>
      <c r="AR47" s="333">
        <f ca="1">IF(TYPE(VLOOKUP($A47,'2.kolo'!$L$3:$L$66,1,0))&gt;3,IF(TYPE(VLOOKUP($A47,'2.kolo'!$O$3:$Q$66,3,0))&gt;3,0,VLOOKUP($A47,'2.kolo'!$O$3:$Q$66,3,0)),VLOOKUP($A47,'2.kolo'!$L$3:$N$66,3,0))</f>
        <v>4</v>
      </c>
      <c r="AS47" s="333">
        <f t="shared" ca="1" si="20"/>
        <v>1</v>
      </c>
      <c r="AT47" s="415">
        <v>49</v>
      </c>
      <c r="AU47" s="442" t="str">
        <f ca="1">IF(AT47="","",CONCATENATE(TEXT($O47,"0"),IF(Start.listina!$Y$5="","",TEXT(500+$P47,"000")),TEXT(999999*RAND(),"000000")))</f>
        <v>3334584</v>
      </c>
      <c r="AV47" s="333">
        <f t="shared" ca="1" si="29"/>
        <v>0</v>
      </c>
      <c r="AY47" s="333">
        <f ca="1">IF(TYPE(VLOOKUP($A47,'3.kolo'!$L$3:$L$66,1,0))&gt;3,IF(TYPE(VLOOKUP($A47,'3.kolo'!$K$3:$L$66,2,0))&gt;3,0,VLOOKUP($A47,'3.kolo'!$K$3:$L$66,2,0)),VLOOKUP($A47,'3.kolo'!$L$3:$O$66,4,0))</f>
        <v>6</v>
      </c>
      <c r="AZ47" s="333">
        <f ca="1">IF(TYPE(VLOOKUP($A47,'3.kolo'!$L$3:$L$66,1,0))&gt;3,IF(TYPE(VLOOKUP($A47,'3.kolo'!$O$3:$Q$66,2,0))&gt;3,0,VLOOKUP($A47,'3.kolo'!$O$3:$Q$66,2,0)),VLOOKUP($A47,'3.kolo'!$L$3:$N$66,2,0))</f>
        <v>0</v>
      </c>
      <c r="BA47" s="333">
        <f ca="1">IF(TYPE(VLOOKUP($A47,'3.kolo'!$L$3:$L$66,1,0))&gt;3,IF(TYPE(VLOOKUP($A47,'3.kolo'!$O$3:$Q$66,3,0))&gt;3,0,VLOOKUP($A47,'3.kolo'!$O$3:$Q$66,3,0)),VLOOKUP($A47,'3.kolo'!$L$3:$N$66,3,0))</f>
        <v>-10</v>
      </c>
      <c r="BB47" s="333">
        <f t="shared" ca="1" si="21"/>
        <v>0</v>
      </c>
      <c r="BC47" s="415">
        <v>42</v>
      </c>
      <c r="BD47" s="442" t="str">
        <f ca="1">IF(BC47="","",CONCATENATE(TEXT($O47,"0"),IF(Start.listina!$Y$5="","",TEXT(500+$P47,"000")),TEXT(999999*RAND(),"000000")))</f>
        <v>3530155</v>
      </c>
      <c r="BE47" s="333">
        <f t="shared" ca="1" si="30"/>
        <v>0</v>
      </c>
      <c r="BH47" s="333">
        <f ca="1">IF(TYPE(VLOOKUP($A47,'4.kolo'!$L$3:$L$66,1,0))&gt;3,IF(TYPE(VLOOKUP($A47,'4.kolo'!$K$3:$L$66,2,0))&gt;3,0,VLOOKUP($A47,'4.kolo'!$K$3:$L$66,2,0)),VLOOKUP($A47,'4.kolo'!$L$3:$O$66,4,0))</f>
        <v>31</v>
      </c>
      <c r="BI47" s="333">
        <f ca="1">IF(TYPE(VLOOKUP($A47,'4.kolo'!$L$3:$L$66,1,0))&gt;3,IF(TYPE(VLOOKUP($A47,'4.kolo'!$O$3:$Q$66,2,0))&gt;3,0,VLOOKUP($A47,'4.kolo'!$O$3:$Q$66,2,0)),VLOOKUP($A47,'4.kolo'!$L$3:$N$66,2,0))</f>
        <v>1</v>
      </c>
      <c r="BJ47" s="333">
        <f ca="1">IF(TYPE(VLOOKUP($A47,'4.kolo'!$L$3:$L$66,1,0))&gt;3,IF(TYPE(VLOOKUP($A47,'4.kolo'!$O$3:$Q$66,3,0))&gt;3,0,VLOOKUP($A47,'4.kolo'!$O$3:$Q$66,3,0)),VLOOKUP($A47,'4.kolo'!$L$3:$N$66,3,0))</f>
        <v>7</v>
      </c>
      <c r="BK47" s="333">
        <f t="shared" ca="1" si="22"/>
        <v>1</v>
      </c>
      <c r="BL47" s="415">
        <v>18</v>
      </c>
      <c r="BM47" s="442" t="str">
        <f ca="1">IF(BL47="","",CONCATENATE(TEXT($O47,"0"),IF(Start.listina!$Y$5="","",TEXT(500+$P47,"000")),TEXT(999999*RAND(),"000000")))</f>
        <v>3325729</v>
      </c>
      <c r="BN47" s="333">
        <f t="shared" ca="1" si="31"/>
        <v>0</v>
      </c>
      <c r="BQ47" s="333">
        <f ca="1">IF(TYPE(VLOOKUP($A47,'5.kolo'!$L$3:$L$66,1,0))&gt;3,IF(TYPE(VLOOKUP($A47,'5.kolo'!$K$3:$L$66,2,0))&gt;3,0,VLOOKUP($A47,'5.kolo'!$K$3:$L$66,2,0)),VLOOKUP($A47,'5.kolo'!$L$3:$O$66,4,0))</f>
        <v>0</v>
      </c>
      <c r="BR47" s="333">
        <f ca="1">IF(TYPE(VLOOKUP($A47,'5.kolo'!$L$3:$L$66,1,0))&gt;3,IF(TYPE(VLOOKUP($A47,'5.kolo'!$O$3:$Q$66,2,0))&gt;3,0,VLOOKUP($A47,'5.kolo'!$O$3:$Q$66,2,0)),VLOOKUP($A47,'5.kolo'!$L$3:$N$66,2,0))</f>
        <v>0</v>
      </c>
      <c r="BS47" s="333">
        <f ca="1">IF(TYPE(VLOOKUP($A47,'5.kolo'!$L$3:$L$66,1,0))&gt;3,IF(TYPE(VLOOKUP($A47,'5.kolo'!$O$3:$Q$66,3,0))&gt;3,0,VLOOKUP($A47,'5.kolo'!$O$3:$Q$66,3,0)),VLOOKUP($A47,'5.kolo'!$L$3:$N$66,3,0))</f>
        <v>0</v>
      </c>
      <c r="BT47" s="333">
        <f t="shared" ca="1" si="23"/>
        <v>0</v>
      </c>
      <c r="BU47" s="415"/>
      <c r="BV47" s="442" t="str">
        <f ca="1">IF(BU47="","",CONCATENATE(TEXT($O47,"0"),IF(Start.listina!$Y$5="","",TEXT(500+$P47,"000")),TEXT(999999*RAND(),"000000")))</f>
        <v/>
      </c>
      <c r="BW47" s="333">
        <f t="shared" ca="1" si="32"/>
        <v>0</v>
      </c>
      <c r="BZ47" s="333">
        <f ca="1">IF(TYPE(VLOOKUP($A47,'6.kolo'!$L$3:$L$66,1,0))&gt;3,IF(TYPE(VLOOKUP($A47,'6.kolo'!$K$3:$L$66,2,0))&gt;3,0,VLOOKUP($A47,'6.kolo'!$K$3:$L$66,2,0)),VLOOKUP($A47,'6.kolo'!$L$3:$O$66,4,0))</f>
        <v>0</v>
      </c>
      <c r="CA47" s="333">
        <f ca="1">IF(TYPE(VLOOKUP($A47,'6.kolo'!$L$3:$L$66,1,0))&gt;3,IF(TYPE(VLOOKUP($A47,'6.kolo'!$O$3:$Q$66,2,0))&gt;3,0,VLOOKUP($A47,'6.kolo'!$O$3:$Q$66,2,0)),VLOOKUP($A47,'6.kolo'!$L$3:$N$66,2,0))</f>
        <v>0</v>
      </c>
      <c r="CB47" s="333">
        <f ca="1">IF(TYPE(VLOOKUP($A47,'6.kolo'!$L$3:$L$66,1,0))&gt;3,IF(TYPE(VLOOKUP($A47,'6.kolo'!$O$3:$Q$66,3,0))&gt;3,0,VLOOKUP($A47,'6.kolo'!$O$3:$Q$66,3,0)),VLOOKUP($A47,'6.kolo'!$L$3:$N$66,3,0))</f>
        <v>0</v>
      </c>
      <c r="CC47" s="333">
        <f t="shared" ca="1" si="24"/>
        <v>0</v>
      </c>
      <c r="CD47" s="415"/>
      <c r="CE47" s="442" t="str">
        <f ca="1">IF(CD47="","",CONCATENATE(TEXT($O47,"0"),IF(Start.listina!$Y$5="","",TEXT(500+$P47,"000")),TEXT(999999*RAND(),"000000")))</f>
        <v/>
      </c>
      <c r="CF47" s="333">
        <f t="shared" ca="1" si="33"/>
        <v>0</v>
      </c>
    </row>
    <row r="48" spans="1:84" x14ac:dyDescent="0.25">
      <c r="A48" s="333">
        <f>IF(OR(Start.listina!H56&gt;Start.listina!$K$7,Start.listina!G56=TRUE),"",Start.listina!H56)</f>
        <v>46</v>
      </c>
      <c r="B48" s="333">
        <f>IF($A48&gt;Start.listina!$K$7,"",INT(($A48-1)/Start.listina!$O$7)+1)</f>
        <v>2</v>
      </c>
      <c r="C48" s="439" t="str">
        <f>IF(OR(Start.listina!H56&gt;Start.listina!$K$7,Start.listina!G56=TRUE)," - ",Start.listina!AL56)</f>
        <v>46 CdP Loděnice - Hytych Petr</v>
      </c>
      <c r="D48" s="333">
        <f>IF(OR(A48&gt;Start.listina!$K$7,TYPE(VLOOKUP(A48,$V$3:$X$130,3,0))&gt;3),"",VLOOKUP(A48,$V$3:$X$130,3,0))</f>
        <v>47</v>
      </c>
      <c r="E48" s="440">
        <f ca="1">IF(A48&gt;Start.listina!$K$7,"",IF(MIN(F48:K48)&gt;Start.listina!$Y$4,D48,MIN(F48:K48)))</f>
        <v>47</v>
      </c>
      <c r="F48" s="333">
        <f ca="1">IF(TYPE(VLOOKUP(C48,Konečné_pořadí_1_16!$B$2:$D$17,3,0))&lt;4,VLOOKUP(C48,Konečné_pořadí_1_16!$B$2:$D$17,3,0),999)</f>
        <v>999</v>
      </c>
      <c r="G48" s="333">
        <f ca="1">IF(TYPE(VLOOKUP(C48,'KO64'!$D$4:$D$129,1,0))&lt;4,64,999)</f>
        <v>999</v>
      </c>
      <c r="H48" s="333">
        <f ca="1">IF(TYPE(VLOOKUP(C48,'KO32'!$D$4:$D$65,1,0))&lt;4,32,999)</f>
        <v>999</v>
      </c>
      <c r="I48" s="333">
        <f ca="1">IF(TYPE(VLOOKUP(C48,'KO16'!$D$4:$D$33,1,0))&lt;4,16,999)</f>
        <v>999</v>
      </c>
      <c r="J48" s="333">
        <f ca="1">IF(TYPE(VLOOKUP(C48,'KO8'!$D$4:$D$17,1,0))&lt;4,8,999)</f>
        <v>999</v>
      </c>
      <c r="K48" s="333">
        <f ca="1">IF(TYPE(VLOOKUP(C48,'KO4'!$D$4:$D$9,1,0))&lt;4,4,999)</f>
        <v>999</v>
      </c>
      <c r="M48" s="334">
        <v>46</v>
      </c>
      <c r="O48" s="333">
        <f t="shared" ca="1" si="8"/>
        <v>1</v>
      </c>
      <c r="P48" s="333">
        <f t="shared" ca="1" si="9"/>
        <v>-17</v>
      </c>
      <c r="Q48" s="333">
        <f t="shared" ca="1" si="26"/>
        <v>5</v>
      </c>
      <c r="R48" s="333">
        <f t="shared" ca="1" si="27"/>
        <v>0</v>
      </c>
      <c r="S48" s="333">
        <f t="shared" ca="1" si="10"/>
        <v>29</v>
      </c>
      <c r="T48" s="333">
        <f t="shared" ca="1" si="11"/>
        <v>1</v>
      </c>
      <c r="U48" s="415">
        <f t="shared" si="25"/>
        <v>46</v>
      </c>
      <c r="V48" s="415">
        <v>48</v>
      </c>
      <c r="W48" s="441" t="str">
        <f ca="1">IF($V48="","",CONCATENATE(TEXT($O48,"0"),IF(Start.listina!$Y$5="","",TEXT(500+$P48,"0000")),IF(Start.listina!$Y$6="","",CHOOSE(Start.listina!$Y$7,TEXT($Q48,"00"),CONCATENATE(TEXT($Q48,"00"),TEXT($S48,"000")), TEXT($R48,"00"))),TEXT(500+$P48,"0000"),IF(Start.listina!$Y$8="","",TEXT($T48,"0")),TEXT(999999*RAND(),"000000")))</f>
        <v>1050290483006593</v>
      </c>
      <c r="X48" s="417">
        <f t="shared" si="12"/>
        <v>46</v>
      </c>
      <c r="Y48" s="415">
        <f t="shared" ca="1" si="28"/>
        <v>1</v>
      </c>
      <c r="Z48" s="333">
        <f t="shared" ca="1" si="13"/>
        <v>21</v>
      </c>
      <c r="AA48" s="333">
        <f t="shared" ca="1" si="14"/>
        <v>48</v>
      </c>
      <c r="AB48" s="333">
        <f t="shared" ca="1" si="15"/>
        <v>36</v>
      </c>
      <c r="AC48" s="333">
        <f t="shared" ca="1" si="16"/>
        <v>17</v>
      </c>
      <c r="AD48" s="333">
        <f t="shared" ca="1" si="17"/>
        <v>0</v>
      </c>
      <c r="AE48" s="333">
        <f t="shared" ca="1" si="18"/>
        <v>0</v>
      </c>
      <c r="AG48" s="333">
        <f ca="1">IF(TYPE(VLOOKUP($A48,'1.kolo'!$L$3:$L$66,1,0))&gt;3,VLOOKUP($A48,'1.kolo'!$K$3:$L$66,2,0),VLOOKUP($A48,'1.kolo'!$L$3:$O$66,4,0))</f>
        <v>21</v>
      </c>
      <c r="AH48" s="333">
        <f ca="1">IF(TYPE(VLOOKUP($A48,'1.kolo'!$L$3:$L$66,1,0))&gt;3,VLOOKUP($A48,'1.kolo'!$O$3:$Q$66,2,0),VLOOKUP($A48,'1.kolo'!$L$3:$N$66,2,0))</f>
        <v>0</v>
      </c>
      <c r="AI48" s="333">
        <f ca="1">IF(TYPE(VLOOKUP($A48,'1.kolo'!$L$3:$L$66,1,0))&gt;3,VLOOKUP($A48,'1.kolo'!$O$3:$Q$66,3,0),VLOOKUP($A48,'1.kolo'!$L$3:$N$66,3,0))</f>
        <v>-6</v>
      </c>
      <c r="AJ48" s="333">
        <f t="shared" ca="1" si="19"/>
        <v>0</v>
      </c>
      <c r="AK48" s="333">
        <v>46</v>
      </c>
      <c r="AL48" s="442"/>
      <c r="AP48" s="333">
        <f ca="1">IF(TYPE(VLOOKUP($A48,'2.kolo'!$L$3:$L$66,1,0))&gt;3,IF(TYPE(VLOOKUP($A48,'2.kolo'!$K$3:$L$66,2,0))&gt;3,0,VLOOKUP($A48,'2.kolo'!$K$3:$L$66,2,0)),VLOOKUP($A48,'2.kolo'!$L$3:$O$66,4,0))</f>
        <v>48</v>
      </c>
      <c r="AQ48" s="333">
        <f ca="1">IF(TYPE(VLOOKUP($A48,'2.kolo'!$L$3:$L$66,1,0))&gt;3,IF(TYPE(VLOOKUP($A48,'2.kolo'!$O$3:$Q$66,2,0))&gt;3,0,VLOOKUP($A48,'2.kolo'!$O$3:$Q$66,2,0)),VLOOKUP($A48,'2.kolo'!$L$3:$N$66,2,0))</f>
        <v>0</v>
      </c>
      <c r="AR48" s="333">
        <f ca="1">IF(TYPE(VLOOKUP($A48,'2.kolo'!$L$3:$L$66,1,0))&gt;3,IF(TYPE(VLOOKUP($A48,'2.kolo'!$O$3:$Q$66,3,0))&gt;3,0,VLOOKUP($A48,'2.kolo'!$O$3:$Q$66,3,0)),VLOOKUP($A48,'2.kolo'!$L$3:$N$66,3,0))</f>
        <v>-7</v>
      </c>
      <c r="AS48" s="333">
        <f t="shared" ca="1" si="20"/>
        <v>0</v>
      </c>
      <c r="AT48" s="415">
        <v>18</v>
      </c>
      <c r="AU48" s="442" t="str">
        <f ca="1">IF(AT48="","",CONCATENATE(TEXT($O48,"0"),IF(Start.listina!$Y$5="","",TEXT(500+$P48,"000")),TEXT(999999*RAND(),"000000")))</f>
        <v>1061940</v>
      </c>
      <c r="AV48" s="333">
        <f t="shared" ca="1" si="29"/>
        <v>0</v>
      </c>
      <c r="AY48" s="333">
        <f ca="1">IF(TYPE(VLOOKUP($A48,'3.kolo'!$L$3:$L$66,1,0))&gt;3,IF(TYPE(VLOOKUP($A48,'3.kolo'!$K$3:$L$66,2,0))&gt;3,0,VLOOKUP($A48,'3.kolo'!$K$3:$L$66,2,0)),VLOOKUP($A48,'3.kolo'!$L$3:$O$66,4,0))</f>
        <v>36</v>
      </c>
      <c r="AZ48" s="333">
        <f ca="1">IF(TYPE(VLOOKUP($A48,'3.kolo'!$L$3:$L$66,1,0))&gt;3,IF(TYPE(VLOOKUP($A48,'3.kolo'!$O$3:$Q$66,2,0))&gt;3,0,VLOOKUP($A48,'3.kolo'!$O$3:$Q$66,2,0)),VLOOKUP($A48,'3.kolo'!$L$3:$N$66,2,0))</f>
        <v>1</v>
      </c>
      <c r="BA48" s="333">
        <f ca="1">IF(TYPE(VLOOKUP($A48,'3.kolo'!$L$3:$L$66,1,0))&gt;3,IF(TYPE(VLOOKUP($A48,'3.kolo'!$O$3:$Q$66,3,0))&gt;3,0,VLOOKUP($A48,'3.kolo'!$O$3:$Q$66,3,0)),VLOOKUP($A48,'3.kolo'!$L$3:$N$66,3,0))</f>
        <v>7</v>
      </c>
      <c r="BB48" s="333">
        <f t="shared" ca="1" si="21"/>
        <v>1</v>
      </c>
      <c r="BC48" s="415">
        <v>47</v>
      </c>
      <c r="BD48" s="442" t="str">
        <f ca="1">IF(BC48="","",CONCATENATE(TEXT($O48,"0"),IF(Start.listina!$Y$5="","",TEXT(500+$P48,"000")),TEXT(999999*RAND(),"000000")))</f>
        <v>1641874</v>
      </c>
      <c r="BE48" s="333">
        <f t="shared" ca="1" si="30"/>
        <v>0</v>
      </c>
      <c r="BH48" s="333">
        <f ca="1">IF(TYPE(VLOOKUP($A48,'4.kolo'!$L$3:$L$66,1,0))&gt;3,IF(TYPE(VLOOKUP($A48,'4.kolo'!$K$3:$L$66,2,0))&gt;3,0,VLOOKUP($A48,'4.kolo'!$K$3:$L$66,2,0)),VLOOKUP($A48,'4.kolo'!$L$3:$O$66,4,0))</f>
        <v>17</v>
      </c>
      <c r="BI48" s="333">
        <f ca="1">IF(TYPE(VLOOKUP($A48,'4.kolo'!$L$3:$L$66,1,0))&gt;3,IF(TYPE(VLOOKUP($A48,'4.kolo'!$O$3:$Q$66,2,0))&gt;3,0,VLOOKUP($A48,'4.kolo'!$O$3:$Q$66,2,0)),VLOOKUP($A48,'4.kolo'!$L$3:$N$66,2,0))</f>
        <v>0</v>
      </c>
      <c r="BJ48" s="333">
        <f ca="1">IF(TYPE(VLOOKUP($A48,'4.kolo'!$L$3:$L$66,1,0))&gt;3,IF(TYPE(VLOOKUP($A48,'4.kolo'!$O$3:$Q$66,3,0))&gt;3,0,VLOOKUP($A48,'4.kolo'!$O$3:$Q$66,3,0)),VLOOKUP($A48,'4.kolo'!$L$3:$N$66,3,0))</f>
        <v>-11</v>
      </c>
      <c r="BK48" s="333">
        <f t="shared" ca="1" si="22"/>
        <v>0</v>
      </c>
      <c r="BL48" s="415">
        <v>30</v>
      </c>
      <c r="BM48" s="442" t="str">
        <f ca="1">IF(BL48="","",CONCATENATE(TEXT($O48,"0"),IF(Start.listina!$Y$5="","",TEXT(500+$P48,"000")),TEXT(999999*RAND(),"000000")))</f>
        <v>1337323</v>
      </c>
      <c r="BN48" s="333">
        <f t="shared" ca="1" si="31"/>
        <v>0</v>
      </c>
      <c r="BQ48" s="333">
        <f ca="1">IF(TYPE(VLOOKUP($A48,'5.kolo'!$L$3:$L$66,1,0))&gt;3,IF(TYPE(VLOOKUP($A48,'5.kolo'!$K$3:$L$66,2,0))&gt;3,0,VLOOKUP($A48,'5.kolo'!$K$3:$L$66,2,0)),VLOOKUP($A48,'5.kolo'!$L$3:$O$66,4,0))</f>
        <v>0</v>
      </c>
      <c r="BR48" s="333">
        <f ca="1">IF(TYPE(VLOOKUP($A48,'5.kolo'!$L$3:$L$66,1,0))&gt;3,IF(TYPE(VLOOKUP($A48,'5.kolo'!$O$3:$Q$66,2,0))&gt;3,0,VLOOKUP($A48,'5.kolo'!$O$3:$Q$66,2,0)),VLOOKUP($A48,'5.kolo'!$L$3:$N$66,2,0))</f>
        <v>0</v>
      </c>
      <c r="BS48" s="333">
        <f ca="1">IF(TYPE(VLOOKUP($A48,'5.kolo'!$L$3:$L$66,1,0))&gt;3,IF(TYPE(VLOOKUP($A48,'5.kolo'!$O$3:$Q$66,3,0))&gt;3,0,VLOOKUP($A48,'5.kolo'!$O$3:$Q$66,3,0)),VLOOKUP($A48,'5.kolo'!$L$3:$N$66,3,0))</f>
        <v>0</v>
      </c>
      <c r="BT48" s="333">
        <f t="shared" ca="1" si="23"/>
        <v>0</v>
      </c>
      <c r="BU48" s="415"/>
      <c r="BV48" s="442" t="str">
        <f ca="1">IF(BU48="","",CONCATENATE(TEXT($O48,"0"),IF(Start.listina!$Y$5="","",TEXT(500+$P48,"000")),TEXT(999999*RAND(),"000000")))</f>
        <v/>
      </c>
      <c r="BW48" s="333">
        <f t="shared" ca="1" si="32"/>
        <v>0</v>
      </c>
      <c r="BZ48" s="333">
        <f ca="1">IF(TYPE(VLOOKUP($A48,'6.kolo'!$L$3:$L$66,1,0))&gt;3,IF(TYPE(VLOOKUP($A48,'6.kolo'!$K$3:$L$66,2,0))&gt;3,0,VLOOKUP($A48,'6.kolo'!$K$3:$L$66,2,0)),VLOOKUP($A48,'6.kolo'!$L$3:$O$66,4,0))</f>
        <v>0</v>
      </c>
      <c r="CA48" s="333">
        <f ca="1">IF(TYPE(VLOOKUP($A48,'6.kolo'!$L$3:$L$66,1,0))&gt;3,IF(TYPE(VLOOKUP($A48,'6.kolo'!$O$3:$Q$66,2,0))&gt;3,0,VLOOKUP($A48,'6.kolo'!$O$3:$Q$66,2,0)),VLOOKUP($A48,'6.kolo'!$L$3:$N$66,2,0))</f>
        <v>0</v>
      </c>
      <c r="CB48" s="333">
        <f ca="1">IF(TYPE(VLOOKUP($A48,'6.kolo'!$L$3:$L$66,1,0))&gt;3,IF(TYPE(VLOOKUP($A48,'6.kolo'!$O$3:$Q$66,3,0))&gt;3,0,VLOOKUP($A48,'6.kolo'!$O$3:$Q$66,3,0)),VLOOKUP($A48,'6.kolo'!$L$3:$N$66,3,0))</f>
        <v>0</v>
      </c>
      <c r="CC48" s="333">
        <f t="shared" ca="1" si="24"/>
        <v>0</v>
      </c>
      <c r="CD48" s="415"/>
      <c r="CE48" s="442" t="str">
        <f ca="1">IF(CD48="","",CONCATENATE(TEXT($O48,"0"),IF(Start.listina!$Y$5="","",TEXT(500+$P48,"000")),TEXT(999999*RAND(),"000000")))</f>
        <v/>
      </c>
      <c r="CF48" s="333">
        <f t="shared" ca="1" si="33"/>
        <v>0</v>
      </c>
    </row>
    <row r="49" spans="1:84" x14ac:dyDescent="0.25">
      <c r="A49" s="333">
        <f>IF(OR(Start.listina!H57&gt;Start.listina!$K$7,Start.listina!G57=TRUE),"",Start.listina!H57)</f>
        <v>47</v>
      </c>
      <c r="B49" s="333">
        <f>IF($A49&gt;Start.listina!$K$7,"",INT(($A49-1)/Start.listina!$O$7)+1)</f>
        <v>2</v>
      </c>
      <c r="C49" s="439" t="str">
        <f>IF(OR(Start.listina!H57&gt;Start.listina!$K$7,Start.listina!G57=TRUE)," - ",Start.listina!AL57)</f>
        <v>47 Club Rodamiento - Soukupová Irena</v>
      </c>
      <c r="D49" s="333">
        <f>IF(OR(A49&gt;Start.listina!$K$7,TYPE(VLOOKUP(A49,$V$3:$X$130,3,0))&gt;3),"",VLOOKUP(A49,$V$3:$X$130,3,0))</f>
        <v>43</v>
      </c>
      <c r="E49" s="440">
        <f ca="1">IF(A49&gt;Start.listina!$K$7,"",IF(MIN(F49:K49)&gt;Start.listina!$Y$4,D49,MIN(F49:K49)))</f>
        <v>43</v>
      </c>
      <c r="F49" s="333">
        <f ca="1">IF(TYPE(VLOOKUP(C49,Konečné_pořadí_1_16!$B$2:$D$17,3,0))&lt;4,VLOOKUP(C49,Konečné_pořadí_1_16!$B$2:$D$17,3,0),999)</f>
        <v>999</v>
      </c>
      <c r="G49" s="333">
        <f ca="1">IF(TYPE(VLOOKUP(C49,'KO64'!$D$4:$D$129,1,0))&lt;4,64,999)</f>
        <v>999</v>
      </c>
      <c r="H49" s="333">
        <f ca="1">IF(TYPE(VLOOKUP(C49,'KO32'!$D$4:$D$65,1,0))&lt;4,32,999)</f>
        <v>999</v>
      </c>
      <c r="I49" s="333">
        <f ca="1">IF(TYPE(VLOOKUP(C49,'KO16'!$D$4:$D$33,1,0))&lt;4,16,999)</f>
        <v>999</v>
      </c>
      <c r="J49" s="333">
        <f ca="1">IF(TYPE(VLOOKUP(C49,'KO8'!$D$4:$D$17,1,0))&lt;4,8,999)</f>
        <v>999</v>
      </c>
      <c r="K49" s="333">
        <f ca="1">IF(TYPE(VLOOKUP(C49,'KO4'!$D$4:$D$9,1,0))&lt;4,4,999)</f>
        <v>999</v>
      </c>
      <c r="M49" s="334">
        <v>47</v>
      </c>
      <c r="O49" s="333">
        <f t="shared" ca="1" si="8"/>
        <v>1</v>
      </c>
      <c r="P49" s="333">
        <f t="shared" ca="1" si="9"/>
        <v>-16</v>
      </c>
      <c r="Q49" s="333">
        <f t="shared" ca="1" si="26"/>
        <v>7</v>
      </c>
      <c r="R49" s="333">
        <f t="shared" ca="1" si="27"/>
        <v>0</v>
      </c>
      <c r="S49" s="333">
        <f t="shared" ca="1" si="10"/>
        <v>30</v>
      </c>
      <c r="T49" s="333">
        <f t="shared" ca="1" si="11"/>
        <v>1</v>
      </c>
      <c r="U49" s="415">
        <f t="shared" si="25"/>
        <v>47</v>
      </c>
      <c r="V49" s="415">
        <v>46</v>
      </c>
      <c r="W49" s="441" t="str">
        <f ca="1">IF($V49="","",CONCATENATE(TEXT($O49,"0"),IF(Start.listina!$Y$5="","",TEXT(500+$P49,"0000")),IF(Start.listina!$Y$6="","",CHOOSE(Start.listina!$Y$7,TEXT($Q49,"00"),CONCATENATE(TEXT($Q49,"00"),TEXT($S49,"000")), TEXT($R49,"00"))),TEXT(500+$P49,"0000"),IF(Start.listina!$Y$8="","",TEXT($T49,"0")),TEXT(999999*RAND(),"000000")))</f>
        <v>1070300484180669</v>
      </c>
      <c r="X49" s="417">
        <f t="shared" si="12"/>
        <v>47</v>
      </c>
      <c r="Y49" s="415">
        <f t="shared" ca="1" si="28"/>
        <v>1</v>
      </c>
      <c r="Z49" s="333">
        <f t="shared" ca="1" si="13"/>
        <v>22</v>
      </c>
      <c r="AA49" s="333">
        <f t="shared" ca="1" si="14"/>
        <v>15</v>
      </c>
      <c r="AB49" s="333">
        <f t="shared" ca="1" si="15"/>
        <v>42</v>
      </c>
      <c r="AC49" s="333">
        <f t="shared" ca="1" si="16"/>
        <v>8</v>
      </c>
      <c r="AD49" s="333">
        <f t="shared" ca="1" si="17"/>
        <v>0</v>
      </c>
      <c r="AE49" s="333">
        <f t="shared" ca="1" si="18"/>
        <v>0</v>
      </c>
      <c r="AG49" s="333">
        <f ca="1">IF(TYPE(VLOOKUP($A49,'1.kolo'!$L$3:$L$66,1,0))&gt;3,VLOOKUP($A49,'1.kolo'!$K$3:$L$66,2,0),VLOOKUP($A49,'1.kolo'!$L$3:$O$66,4,0))</f>
        <v>22</v>
      </c>
      <c r="AH49" s="333">
        <f ca="1">IF(TYPE(VLOOKUP($A49,'1.kolo'!$L$3:$L$66,1,0))&gt;3,VLOOKUP($A49,'1.kolo'!$O$3:$Q$66,2,0),VLOOKUP($A49,'1.kolo'!$L$3:$N$66,2,0))</f>
        <v>0</v>
      </c>
      <c r="AI49" s="333">
        <f ca="1">IF(TYPE(VLOOKUP($A49,'1.kolo'!$L$3:$L$66,1,0))&gt;3,VLOOKUP($A49,'1.kolo'!$O$3:$Q$66,3,0),VLOOKUP($A49,'1.kolo'!$L$3:$N$66,3,0))</f>
        <v>-3</v>
      </c>
      <c r="AJ49" s="333">
        <f t="shared" ca="1" si="19"/>
        <v>0</v>
      </c>
      <c r="AK49" s="333">
        <v>47</v>
      </c>
      <c r="AL49" s="442"/>
      <c r="AP49" s="333">
        <f ca="1">IF(TYPE(VLOOKUP($A49,'2.kolo'!$L$3:$L$66,1,0))&gt;3,IF(TYPE(VLOOKUP($A49,'2.kolo'!$K$3:$L$66,2,0))&gt;3,0,VLOOKUP($A49,'2.kolo'!$K$3:$L$66,2,0)),VLOOKUP($A49,'2.kolo'!$L$3:$O$66,4,0))</f>
        <v>15</v>
      </c>
      <c r="AQ49" s="333">
        <f ca="1">IF(TYPE(VLOOKUP($A49,'2.kolo'!$L$3:$L$66,1,0))&gt;3,IF(TYPE(VLOOKUP($A49,'2.kolo'!$O$3:$Q$66,2,0))&gt;3,0,VLOOKUP($A49,'2.kolo'!$O$3:$Q$66,2,0)),VLOOKUP($A49,'2.kolo'!$L$3:$N$66,2,0))</f>
        <v>0</v>
      </c>
      <c r="AR49" s="333">
        <f ca="1">IF(TYPE(VLOOKUP($A49,'2.kolo'!$L$3:$L$66,1,0))&gt;3,IF(TYPE(VLOOKUP($A49,'2.kolo'!$O$3:$Q$66,3,0))&gt;3,0,VLOOKUP($A49,'2.kolo'!$O$3:$Q$66,3,0)),VLOOKUP($A49,'2.kolo'!$L$3:$N$66,3,0))</f>
        <v>-12</v>
      </c>
      <c r="AS49" s="333">
        <f t="shared" ca="1" si="20"/>
        <v>0</v>
      </c>
      <c r="AT49" s="415">
        <v>48</v>
      </c>
      <c r="AU49" s="442" t="str">
        <f ca="1">IF(AT49="","",CONCATENATE(TEXT($O49,"0"),IF(Start.listina!$Y$5="","",TEXT(500+$P49,"000")),TEXT(999999*RAND(),"000000")))</f>
        <v>1205652</v>
      </c>
      <c r="AV49" s="333">
        <f t="shared" ca="1" si="29"/>
        <v>0</v>
      </c>
      <c r="AY49" s="333">
        <f ca="1">IF(TYPE(VLOOKUP($A49,'3.kolo'!$L$3:$L$66,1,0))&gt;3,IF(TYPE(VLOOKUP($A49,'3.kolo'!$K$3:$L$66,2,0))&gt;3,0,VLOOKUP($A49,'3.kolo'!$K$3:$L$66,2,0)),VLOOKUP($A49,'3.kolo'!$L$3:$O$66,4,0))</f>
        <v>42</v>
      </c>
      <c r="AZ49" s="333">
        <f ca="1">IF(TYPE(VLOOKUP($A49,'3.kolo'!$L$3:$L$66,1,0))&gt;3,IF(TYPE(VLOOKUP($A49,'3.kolo'!$O$3:$Q$66,2,0))&gt;3,0,VLOOKUP($A49,'3.kolo'!$O$3:$Q$66,2,0)),VLOOKUP($A49,'3.kolo'!$L$3:$N$66,2,0))</f>
        <v>1</v>
      </c>
      <c r="BA49" s="333">
        <f ca="1">IF(TYPE(VLOOKUP($A49,'3.kolo'!$L$3:$L$66,1,0))&gt;3,IF(TYPE(VLOOKUP($A49,'3.kolo'!$O$3:$Q$66,3,0))&gt;3,0,VLOOKUP($A49,'3.kolo'!$O$3:$Q$66,3,0)),VLOOKUP($A49,'3.kolo'!$L$3:$N$66,3,0))</f>
        <v>6</v>
      </c>
      <c r="BB49" s="333">
        <f t="shared" ca="1" si="21"/>
        <v>1</v>
      </c>
      <c r="BC49" s="415">
        <v>18</v>
      </c>
      <c r="BD49" s="442" t="str">
        <f ca="1">IF(BC49="","",CONCATENATE(TEXT($O49,"0"),IF(Start.listina!$Y$5="","",TEXT(500+$P49,"000")),TEXT(999999*RAND(),"000000")))</f>
        <v>1029422</v>
      </c>
      <c r="BE49" s="333">
        <f t="shared" ca="1" si="30"/>
        <v>0</v>
      </c>
      <c r="BH49" s="333">
        <f ca="1">IF(TYPE(VLOOKUP($A49,'4.kolo'!$L$3:$L$66,1,0))&gt;3,IF(TYPE(VLOOKUP($A49,'4.kolo'!$K$3:$L$66,2,0))&gt;3,0,VLOOKUP($A49,'4.kolo'!$K$3:$L$66,2,0)),VLOOKUP($A49,'4.kolo'!$L$3:$O$66,4,0))</f>
        <v>8</v>
      </c>
      <c r="BI49" s="333">
        <f ca="1">IF(TYPE(VLOOKUP($A49,'4.kolo'!$L$3:$L$66,1,0))&gt;3,IF(TYPE(VLOOKUP($A49,'4.kolo'!$O$3:$Q$66,2,0))&gt;3,0,VLOOKUP($A49,'4.kolo'!$O$3:$Q$66,2,0)),VLOOKUP($A49,'4.kolo'!$L$3:$N$66,2,0))</f>
        <v>0</v>
      </c>
      <c r="BJ49" s="333">
        <f ca="1">IF(TYPE(VLOOKUP($A49,'4.kolo'!$L$3:$L$66,1,0))&gt;3,IF(TYPE(VLOOKUP($A49,'4.kolo'!$O$3:$Q$66,3,0))&gt;3,0,VLOOKUP($A49,'4.kolo'!$O$3:$Q$66,3,0)),VLOOKUP($A49,'4.kolo'!$L$3:$N$66,3,0))</f>
        <v>-7</v>
      </c>
      <c r="BK49" s="333">
        <f t="shared" ca="1" si="22"/>
        <v>0</v>
      </c>
      <c r="BL49" s="415">
        <v>37</v>
      </c>
      <c r="BM49" s="442" t="str">
        <f ca="1">IF(BL49="","",CONCATENATE(TEXT($O49,"0"),IF(Start.listina!$Y$5="","",TEXT(500+$P49,"000")),TEXT(999999*RAND(),"000000")))</f>
        <v>1972074</v>
      </c>
      <c r="BN49" s="333">
        <f t="shared" ca="1" si="31"/>
        <v>0</v>
      </c>
      <c r="BQ49" s="333">
        <f ca="1">IF(TYPE(VLOOKUP($A49,'5.kolo'!$L$3:$L$66,1,0))&gt;3,IF(TYPE(VLOOKUP($A49,'5.kolo'!$K$3:$L$66,2,0))&gt;3,0,VLOOKUP($A49,'5.kolo'!$K$3:$L$66,2,0)),VLOOKUP($A49,'5.kolo'!$L$3:$O$66,4,0))</f>
        <v>0</v>
      </c>
      <c r="BR49" s="333">
        <f ca="1">IF(TYPE(VLOOKUP($A49,'5.kolo'!$L$3:$L$66,1,0))&gt;3,IF(TYPE(VLOOKUP($A49,'5.kolo'!$O$3:$Q$66,2,0))&gt;3,0,VLOOKUP($A49,'5.kolo'!$O$3:$Q$66,2,0)),VLOOKUP($A49,'5.kolo'!$L$3:$N$66,2,0))</f>
        <v>0</v>
      </c>
      <c r="BS49" s="333">
        <f ca="1">IF(TYPE(VLOOKUP($A49,'5.kolo'!$L$3:$L$66,1,0))&gt;3,IF(TYPE(VLOOKUP($A49,'5.kolo'!$O$3:$Q$66,3,0))&gt;3,0,VLOOKUP($A49,'5.kolo'!$O$3:$Q$66,3,0)),VLOOKUP($A49,'5.kolo'!$L$3:$N$66,3,0))</f>
        <v>0</v>
      </c>
      <c r="BT49" s="333">
        <f t="shared" ca="1" si="23"/>
        <v>0</v>
      </c>
      <c r="BU49" s="415"/>
      <c r="BV49" s="442" t="str">
        <f ca="1">IF(BU49="","",CONCATENATE(TEXT($O49,"0"),IF(Start.listina!$Y$5="","",TEXT(500+$P49,"000")),TEXT(999999*RAND(),"000000")))</f>
        <v/>
      </c>
      <c r="BW49" s="333">
        <f t="shared" ca="1" si="32"/>
        <v>0</v>
      </c>
      <c r="BZ49" s="333">
        <f ca="1">IF(TYPE(VLOOKUP($A49,'6.kolo'!$L$3:$L$66,1,0))&gt;3,IF(TYPE(VLOOKUP($A49,'6.kolo'!$K$3:$L$66,2,0))&gt;3,0,VLOOKUP($A49,'6.kolo'!$K$3:$L$66,2,0)),VLOOKUP($A49,'6.kolo'!$L$3:$O$66,4,0))</f>
        <v>0</v>
      </c>
      <c r="CA49" s="333">
        <f ca="1">IF(TYPE(VLOOKUP($A49,'6.kolo'!$L$3:$L$66,1,0))&gt;3,IF(TYPE(VLOOKUP($A49,'6.kolo'!$O$3:$Q$66,2,0))&gt;3,0,VLOOKUP($A49,'6.kolo'!$O$3:$Q$66,2,0)),VLOOKUP($A49,'6.kolo'!$L$3:$N$66,2,0))</f>
        <v>0</v>
      </c>
      <c r="CB49" s="333">
        <f ca="1">IF(TYPE(VLOOKUP($A49,'6.kolo'!$L$3:$L$66,1,0))&gt;3,IF(TYPE(VLOOKUP($A49,'6.kolo'!$O$3:$Q$66,3,0))&gt;3,0,VLOOKUP($A49,'6.kolo'!$O$3:$Q$66,3,0)),VLOOKUP($A49,'6.kolo'!$L$3:$N$66,3,0))</f>
        <v>0</v>
      </c>
      <c r="CC49" s="333">
        <f t="shared" ca="1" si="24"/>
        <v>0</v>
      </c>
      <c r="CD49" s="415"/>
      <c r="CE49" s="442" t="str">
        <f ca="1">IF(CD49="","",CONCATENATE(TEXT($O49,"0"),IF(Start.listina!$Y$5="","",TEXT(500+$P49,"000")),TEXT(999999*RAND(),"000000")))</f>
        <v/>
      </c>
      <c r="CF49" s="333">
        <f t="shared" ca="1" si="33"/>
        <v>0</v>
      </c>
    </row>
    <row r="50" spans="1:84" x14ac:dyDescent="0.25">
      <c r="A50" s="333">
        <f>IF(OR(Start.listina!H58&gt;Start.listina!$K$7,Start.listina!G58=TRUE),"",Start.listina!H58)</f>
        <v>48</v>
      </c>
      <c r="B50" s="333">
        <f>IF($A50&gt;Start.listina!$K$7,"",INT(($A50-1)/Start.listina!$O$7)+1)</f>
        <v>2</v>
      </c>
      <c r="C50" s="439" t="str">
        <f>IF(OR(Start.listina!H58&gt;Start.listina!$K$7,Start.listina!G58=TRUE)," - ",Start.listina!AL58)</f>
        <v>48 SK Španielka Řepy - Pastorek Jaroslav</v>
      </c>
      <c r="D50" s="333">
        <f>IF(OR(A50&gt;Start.listina!$K$7,TYPE(VLOOKUP(A50,$V$3:$X$130,3,0))&gt;3),"",VLOOKUP(A50,$V$3:$X$130,3,0))</f>
        <v>46</v>
      </c>
      <c r="E50" s="440">
        <f ca="1">IF(A50&gt;Start.listina!$K$7,"",IF(MIN(F50:K50)&gt;Start.listina!$Y$4,D50,MIN(F50:K50)))</f>
        <v>46</v>
      </c>
      <c r="F50" s="333">
        <f ca="1">IF(TYPE(VLOOKUP(C50,Konečné_pořadí_1_16!$B$2:$D$17,3,0))&lt;4,VLOOKUP(C50,Konečné_pořadí_1_16!$B$2:$D$17,3,0),999)</f>
        <v>999</v>
      </c>
      <c r="G50" s="333">
        <f ca="1">IF(TYPE(VLOOKUP(C50,'KO64'!$D$4:$D$129,1,0))&lt;4,64,999)</f>
        <v>999</v>
      </c>
      <c r="H50" s="333">
        <f ca="1">IF(TYPE(VLOOKUP(C50,'KO32'!$D$4:$D$65,1,0))&lt;4,32,999)</f>
        <v>999</v>
      </c>
      <c r="I50" s="333">
        <f ca="1">IF(TYPE(VLOOKUP(C50,'KO16'!$D$4:$D$33,1,0))&lt;4,16,999)</f>
        <v>999</v>
      </c>
      <c r="J50" s="333">
        <f ca="1">IF(TYPE(VLOOKUP(C50,'KO8'!$D$4:$D$17,1,0))&lt;4,8,999)</f>
        <v>999</v>
      </c>
      <c r="K50" s="333">
        <f ca="1">IF(TYPE(VLOOKUP(C50,'KO4'!$D$4:$D$9,1,0))&lt;4,4,999)</f>
        <v>999</v>
      </c>
      <c r="M50" s="334">
        <v>48</v>
      </c>
      <c r="O50" s="333">
        <f t="shared" ca="1" si="8"/>
        <v>1</v>
      </c>
      <c r="P50" s="333">
        <f t="shared" ca="1" si="9"/>
        <v>-9</v>
      </c>
      <c r="Q50" s="333">
        <f t="shared" ca="1" si="26"/>
        <v>7</v>
      </c>
      <c r="R50" s="333">
        <f t="shared" ca="1" si="27"/>
        <v>1</v>
      </c>
      <c r="S50" s="333">
        <f t="shared" ca="1" si="10"/>
        <v>26</v>
      </c>
      <c r="T50" s="333">
        <f t="shared" ca="1" si="11"/>
        <v>1</v>
      </c>
      <c r="U50" s="415">
        <f t="shared" si="25"/>
        <v>48</v>
      </c>
      <c r="V50" s="415">
        <v>33</v>
      </c>
      <c r="W50" s="441" t="str">
        <f ca="1">IF($V50="","",CONCATENATE(TEXT($O50,"0"),IF(Start.listina!$Y$5="","",TEXT(500+$P50,"0000")),IF(Start.listina!$Y$6="","",CHOOSE(Start.listina!$Y$7,TEXT($Q50,"00"),CONCATENATE(TEXT($Q50,"00"),TEXT($S50,"000")), TEXT($R50,"00"))),TEXT(500+$P50,"0000"),IF(Start.listina!$Y$8="","",TEXT($T50,"0")),TEXT(999999*RAND(),"000000")))</f>
        <v>1070260491865414</v>
      </c>
      <c r="X50" s="417">
        <f t="shared" si="12"/>
        <v>48</v>
      </c>
      <c r="Y50" s="415">
        <f t="shared" ca="1" si="28"/>
        <v>1</v>
      </c>
      <c r="Z50" s="333">
        <f t="shared" ca="1" si="13"/>
        <v>23</v>
      </c>
      <c r="AA50" s="333">
        <f t="shared" ca="1" si="14"/>
        <v>46</v>
      </c>
      <c r="AB50" s="333">
        <f t="shared" ca="1" si="15"/>
        <v>25</v>
      </c>
      <c r="AC50" s="333">
        <f t="shared" ca="1" si="16"/>
        <v>15</v>
      </c>
      <c r="AD50" s="333">
        <f t="shared" ca="1" si="17"/>
        <v>0</v>
      </c>
      <c r="AE50" s="333">
        <f t="shared" ca="1" si="18"/>
        <v>0</v>
      </c>
      <c r="AG50" s="333">
        <f ca="1">IF(TYPE(VLOOKUP($A50,'1.kolo'!$L$3:$L$66,1,0))&gt;3,VLOOKUP($A50,'1.kolo'!$K$3:$L$66,2,0),VLOOKUP($A50,'1.kolo'!$L$3:$O$66,4,0))</f>
        <v>23</v>
      </c>
      <c r="AH50" s="333">
        <f ca="1">IF(TYPE(VLOOKUP($A50,'1.kolo'!$L$3:$L$66,1,0))&gt;3,VLOOKUP($A50,'1.kolo'!$O$3:$Q$66,2,0),VLOOKUP($A50,'1.kolo'!$L$3:$N$66,2,0))</f>
        <v>0</v>
      </c>
      <c r="AI50" s="333">
        <f ca="1">IF(TYPE(VLOOKUP($A50,'1.kolo'!$L$3:$L$66,1,0))&gt;3,VLOOKUP($A50,'1.kolo'!$O$3:$Q$66,3,0),VLOOKUP($A50,'1.kolo'!$L$3:$N$66,3,0))</f>
        <v>-8</v>
      </c>
      <c r="AJ50" s="333">
        <f t="shared" ca="1" si="19"/>
        <v>0</v>
      </c>
      <c r="AK50" s="333">
        <v>48</v>
      </c>
      <c r="AL50" s="442"/>
      <c r="AP50" s="333">
        <f ca="1">IF(TYPE(VLOOKUP($A50,'2.kolo'!$L$3:$L$66,1,0))&gt;3,IF(TYPE(VLOOKUP($A50,'2.kolo'!$K$3:$L$66,2,0))&gt;3,0,VLOOKUP($A50,'2.kolo'!$K$3:$L$66,2,0)),VLOOKUP($A50,'2.kolo'!$L$3:$O$66,4,0))</f>
        <v>46</v>
      </c>
      <c r="AQ50" s="333">
        <f ca="1">IF(TYPE(VLOOKUP($A50,'2.kolo'!$L$3:$L$66,1,0))&gt;3,IF(TYPE(VLOOKUP($A50,'2.kolo'!$O$3:$Q$66,2,0))&gt;3,0,VLOOKUP($A50,'2.kolo'!$O$3:$Q$66,2,0)),VLOOKUP($A50,'2.kolo'!$L$3:$N$66,2,0))</f>
        <v>1</v>
      </c>
      <c r="AR50" s="333">
        <f ca="1">IF(TYPE(VLOOKUP($A50,'2.kolo'!$L$3:$L$66,1,0))&gt;3,IF(TYPE(VLOOKUP($A50,'2.kolo'!$O$3:$Q$66,3,0))&gt;3,0,VLOOKUP($A50,'2.kolo'!$O$3:$Q$66,3,0)),VLOOKUP($A50,'2.kolo'!$L$3:$N$66,3,0))</f>
        <v>7</v>
      </c>
      <c r="AS50" s="333">
        <f t="shared" ca="1" si="20"/>
        <v>1</v>
      </c>
      <c r="AT50" s="415">
        <v>46</v>
      </c>
      <c r="AU50" s="442" t="str">
        <f ca="1">IF(AT50="","",CONCATENATE(TEXT($O50,"0"),IF(Start.listina!$Y$5="","",TEXT(500+$P50,"000")),TEXT(999999*RAND(),"000000")))</f>
        <v>1122951</v>
      </c>
      <c r="AV50" s="333">
        <f t="shared" ca="1" si="29"/>
        <v>0</v>
      </c>
      <c r="AY50" s="333">
        <f ca="1">IF(TYPE(VLOOKUP($A50,'3.kolo'!$L$3:$L$66,1,0))&gt;3,IF(TYPE(VLOOKUP($A50,'3.kolo'!$K$3:$L$66,2,0))&gt;3,0,VLOOKUP($A50,'3.kolo'!$K$3:$L$66,2,0)),VLOOKUP($A50,'3.kolo'!$L$3:$O$66,4,0))</f>
        <v>25</v>
      </c>
      <c r="AZ50" s="333">
        <f ca="1">IF(TYPE(VLOOKUP($A50,'3.kolo'!$L$3:$L$66,1,0))&gt;3,IF(TYPE(VLOOKUP($A50,'3.kolo'!$O$3:$Q$66,2,0))&gt;3,0,VLOOKUP($A50,'3.kolo'!$O$3:$Q$66,2,0)),VLOOKUP($A50,'3.kolo'!$L$3:$N$66,2,0))</f>
        <v>0</v>
      </c>
      <c r="BA50" s="333">
        <f ca="1">IF(TYPE(VLOOKUP($A50,'3.kolo'!$L$3:$L$66,1,0))&gt;3,IF(TYPE(VLOOKUP($A50,'3.kolo'!$O$3:$Q$66,3,0))&gt;3,0,VLOOKUP($A50,'3.kolo'!$O$3:$Q$66,3,0)),VLOOKUP($A50,'3.kolo'!$L$3:$N$66,3,0))</f>
        <v>-7</v>
      </c>
      <c r="BB50" s="333">
        <f t="shared" ca="1" si="21"/>
        <v>0</v>
      </c>
      <c r="BC50" s="415">
        <v>37</v>
      </c>
      <c r="BD50" s="442" t="str">
        <f ca="1">IF(BC50="","",CONCATENATE(TEXT($O50,"0"),IF(Start.listina!$Y$5="","",TEXT(500+$P50,"000")),TEXT(999999*RAND(),"000000")))</f>
        <v>1575604</v>
      </c>
      <c r="BE50" s="333">
        <f t="shared" ca="1" si="30"/>
        <v>0</v>
      </c>
      <c r="BH50" s="333">
        <f ca="1">IF(TYPE(VLOOKUP($A50,'4.kolo'!$L$3:$L$66,1,0))&gt;3,IF(TYPE(VLOOKUP($A50,'4.kolo'!$K$3:$L$66,2,0))&gt;3,0,VLOOKUP($A50,'4.kolo'!$K$3:$L$66,2,0)),VLOOKUP($A50,'4.kolo'!$L$3:$O$66,4,0))</f>
        <v>15</v>
      </c>
      <c r="BI50" s="333">
        <f ca="1">IF(TYPE(VLOOKUP($A50,'4.kolo'!$L$3:$L$66,1,0))&gt;3,IF(TYPE(VLOOKUP($A50,'4.kolo'!$O$3:$Q$66,2,0))&gt;3,0,VLOOKUP($A50,'4.kolo'!$O$3:$Q$66,2,0)),VLOOKUP($A50,'4.kolo'!$L$3:$N$66,2,0))</f>
        <v>0</v>
      </c>
      <c r="BJ50" s="333">
        <f ca="1">IF(TYPE(VLOOKUP($A50,'4.kolo'!$L$3:$L$66,1,0))&gt;3,IF(TYPE(VLOOKUP($A50,'4.kolo'!$O$3:$Q$66,3,0))&gt;3,0,VLOOKUP($A50,'4.kolo'!$O$3:$Q$66,3,0)),VLOOKUP($A50,'4.kolo'!$L$3:$N$66,3,0))</f>
        <v>-1</v>
      </c>
      <c r="BK50" s="333">
        <f t="shared" ca="1" si="22"/>
        <v>0</v>
      </c>
      <c r="BL50" s="415">
        <v>42</v>
      </c>
      <c r="BM50" s="442" t="str">
        <f ca="1">IF(BL50="","",CONCATENATE(TEXT($O50,"0"),IF(Start.listina!$Y$5="","",TEXT(500+$P50,"000")),TEXT(999999*RAND(),"000000")))</f>
        <v>1756023</v>
      </c>
      <c r="BN50" s="333">
        <f t="shared" ca="1" si="31"/>
        <v>0</v>
      </c>
      <c r="BQ50" s="333">
        <f ca="1">IF(TYPE(VLOOKUP($A50,'5.kolo'!$L$3:$L$66,1,0))&gt;3,IF(TYPE(VLOOKUP($A50,'5.kolo'!$K$3:$L$66,2,0))&gt;3,0,VLOOKUP($A50,'5.kolo'!$K$3:$L$66,2,0)),VLOOKUP($A50,'5.kolo'!$L$3:$O$66,4,0))</f>
        <v>0</v>
      </c>
      <c r="BR50" s="333">
        <f ca="1">IF(TYPE(VLOOKUP($A50,'5.kolo'!$L$3:$L$66,1,0))&gt;3,IF(TYPE(VLOOKUP($A50,'5.kolo'!$O$3:$Q$66,2,0))&gt;3,0,VLOOKUP($A50,'5.kolo'!$O$3:$Q$66,2,0)),VLOOKUP($A50,'5.kolo'!$L$3:$N$66,2,0))</f>
        <v>0</v>
      </c>
      <c r="BS50" s="333">
        <f ca="1">IF(TYPE(VLOOKUP($A50,'5.kolo'!$L$3:$L$66,1,0))&gt;3,IF(TYPE(VLOOKUP($A50,'5.kolo'!$O$3:$Q$66,3,0))&gt;3,0,VLOOKUP($A50,'5.kolo'!$O$3:$Q$66,3,0)),VLOOKUP($A50,'5.kolo'!$L$3:$N$66,3,0))</f>
        <v>0</v>
      </c>
      <c r="BT50" s="333">
        <f t="shared" ca="1" si="23"/>
        <v>0</v>
      </c>
      <c r="BU50" s="415"/>
      <c r="BV50" s="442" t="str">
        <f ca="1">IF(BU50="","",CONCATENATE(TEXT($O50,"0"),IF(Start.listina!$Y$5="","",TEXT(500+$P50,"000")),TEXT(999999*RAND(),"000000")))</f>
        <v/>
      </c>
      <c r="BW50" s="333">
        <f t="shared" ca="1" si="32"/>
        <v>0</v>
      </c>
      <c r="BZ50" s="333">
        <f ca="1">IF(TYPE(VLOOKUP($A50,'6.kolo'!$L$3:$L$66,1,0))&gt;3,IF(TYPE(VLOOKUP($A50,'6.kolo'!$K$3:$L$66,2,0))&gt;3,0,VLOOKUP($A50,'6.kolo'!$K$3:$L$66,2,0)),VLOOKUP($A50,'6.kolo'!$L$3:$O$66,4,0))</f>
        <v>0</v>
      </c>
      <c r="CA50" s="333">
        <f ca="1">IF(TYPE(VLOOKUP($A50,'6.kolo'!$L$3:$L$66,1,0))&gt;3,IF(TYPE(VLOOKUP($A50,'6.kolo'!$O$3:$Q$66,2,0))&gt;3,0,VLOOKUP($A50,'6.kolo'!$O$3:$Q$66,2,0)),VLOOKUP($A50,'6.kolo'!$L$3:$N$66,2,0))</f>
        <v>0</v>
      </c>
      <c r="CB50" s="333">
        <f ca="1">IF(TYPE(VLOOKUP($A50,'6.kolo'!$L$3:$L$66,1,0))&gt;3,IF(TYPE(VLOOKUP($A50,'6.kolo'!$O$3:$Q$66,3,0))&gt;3,0,VLOOKUP($A50,'6.kolo'!$O$3:$Q$66,3,0)),VLOOKUP($A50,'6.kolo'!$L$3:$N$66,3,0))</f>
        <v>0</v>
      </c>
      <c r="CC50" s="333">
        <f t="shared" ca="1" si="24"/>
        <v>0</v>
      </c>
      <c r="CD50" s="415"/>
      <c r="CE50" s="442" t="str">
        <f ca="1">IF(CD50="","",CONCATENATE(TEXT($O50,"0"),IF(Start.listina!$Y$5="","",TEXT(500+$P50,"000")),TEXT(999999*RAND(),"000000")))</f>
        <v/>
      </c>
      <c r="CF50" s="333">
        <f t="shared" ca="1" si="33"/>
        <v>0</v>
      </c>
    </row>
    <row r="51" spans="1:84" x14ac:dyDescent="0.25">
      <c r="A51" s="333">
        <f>IF(OR(Start.listina!H59&gt;Start.listina!$K$7,Start.listina!G59=TRUE),"",Start.listina!H59)</f>
        <v>49</v>
      </c>
      <c r="B51" s="333">
        <f>IF($A51&gt;Start.listina!$K$7,"",INT(($A51-1)/Start.listina!$O$7)+1)</f>
        <v>2</v>
      </c>
      <c r="C51" s="439" t="str">
        <f>IF(OR(Start.listina!H59&gt;Start.listina!$K$7,Start.listina!G59=TRUE)," - ",Start.listina!AL59)</f>
        <v>49 SK Španielka Řepy - Řezník Alois</v>
      </c>
      <c r="D51" s="333">
        <f>IF(OR(A51&gt;Start.listina!$K$7,TYPE(VLOOKUP(A51,$V$3:$X$130,3,0))&gt;3),"",VLOOKUP(A51,$V$3:$X$130,3,0))</f>
        <v>24</v>
      </c>
      <c r="E51" s="440">
        <f ca="1">IF(A51&gt;Start.listina!$K$7,"",IF(MIN(F51:K51)&gt;Start.listina!$Y$4,D51,MIN(F51:K51)))</f>
        <v>24</v>
      </c>
      <c r="F51" s="333">
        <f ca="1">IF(TYPE(VLOOKUP(C51,Konečné_pořadí_1_16!$B$2:$D$17,3,0))&lt;4,VLOOKUP(C51,Konečné_pořadí_1_16!$B$2:$D$17,3,0),999)</f>
        <v>999</v>
      </c>
      <c r="G51" s="333">
        <f ca="1">IF(TYPE(VLOOKUP(C51,'KO64'!$D$4:$D$129,1,0))&lt;4,64,999)</f>
        <v>999</v>
      </c>
      <c r="H51" s="333">
        <f ca="1">IF(TYPE(VLOOKUP(C51,'KO32'!$D$4:$D$65,1,0))&lt;4,32,999)</f>
        <v>999</v>
      </c>
      <c r="I51" s="333">
        <f ca="1">IF(TYPE(VLOOKUP(C51,'KO16'!$D$4:$D$33,1,0))&lt;4,16,999)</f>
        <v>999</v>
      </c>
      <c r="J51" s="333">
        <f ca="1">IF(TYPE(VLOOKUP(C51,'KO8'!$D$4:$D$17,1,0))&lt;4,8,999)</f>
        <v>999</v>
      </c>
      <c r="K51" s="333">
        <f ca="1">IF(TYPE(VLOOKUP(C51,'KO4'!$D$4:$D$9,1,0))&lt;4,4,999)</f>
        <v>999</v>
      </c>
      <c r="M51" s="334">
        <v>49</v>
      </c>
      <c r="O51" s="333">
        <f t="shared" ca="1" si="8"/>
        <v>2</v>
      </c>
      <c r="P51" s="333">
        <f t="shared" ca="1" si="9"/>
        <v>-14</v>
      </c>
      <c r="Q51" s="333">
        <f t="shared" ca="1" si="26"/>
        <v>9</v>
      </c>
      <c r="R51" s="333">
        <f t="shared" ca="1" si="27"/>
        <v>4</v>
      </c>
      <c r="S51" s="333">
        <f t="shared" ca="1" si="10"/>
        <v>30</v>
      </c>
      <c r="T51" s="333">
        <f t="shared" ca="1" si="11"/>
        <v>2</v>
      </c>
      <c r="U51" s="415">
        <f t="shared" si="25"/>
        <v>49</v>
      </c>
      <c r="V51" s="415">
        <v>36</v>
      </c>
      <c r="W51" s="441" t="str">
        <f ca="1">IF($V51="","",CONCATENATE(TEXT($O51,"0"),IF(Start.listina!$Y$5="","",TEXT(500+$P51,"0000")),IF(Start.listina!$Y$6="","",CHOOSE(Start.listina!$Y$7,TEXT($Q51,"00"),CONCATENATE(TEXT($Q51,"00"),TEXT($S51,"000")), TEXT($R51,"00"))),TEXT(500+$P51,"0000"),IF(Start.listina!$Y$8="","",TEXT($T51,"0")),TEXT(999999*RAND(),"000000")))</f>
        <v>2090300486913253</v>
      </c>
      <c r="X51" s="417">
        <f t="shared" si="12"/>
        <v>49</v>
      </c>
      <c r="Y51" s="415">
        <f t="shared" ca="1" si="28"/>
        <v>0</v>
      </c>
      <c r="Z51" s="333">
        <f t="shared" ca="1" si="13"/>
        <v>24</v>
      </c>
      <c r="AA51" s="333">
        <f t="shared" ca="1" si="14"/>
        <v>18</v>
      </c>
      <c r="AB51" s="333">
        <f t="shared" ca="1" si="15"/>
        <v>17</v>
      </c>
      <c r="AC51" s="333">
        <f t="shared" ca="1" si="16"/>
        <v>10</v>
      </c>
      <c r="AD51" s="333">
        <f t="shared" ca="1" si="17"/>
        <v>0</v>
      </c>
      <c r="AE51" s="333">
        <f t="shared" ca="1" si="18"/>
        <v>0</v>
      </c>
      <c r="AG51" s="333">
        <f ca="1">IF(TYPE(VLOOKUP($A51,'1.kolo'!$L$3:$L$66,1,0))&gt;3,VLOOKUP($A51,'1.kolo'!$K$3:$L$66,2,0),VLOOKUP($A51,'1.kolo'!$L$3:$O$66,4,0))</f>
        <v>24</v>
      </c>
      <c r="AH51" s="333">
        <f ca="1">IF(TYPE(VLOOKUP($A51,'1.kolo'!$L$3:$L$66,1,0))&gt;3,VLOOKUP($A51,'1.kolo'!$O$3:$Q$66,2,0),VLOOKUP($A51,'1.kolo'!$L$3:$N$66,2,0))</f>
        <v>0</v>
      </c>
      <c r="AI51" s="333">
        <f ca="1">IF(TYPE(VLOOKUP($A51,'1.kolo'!$L$3:$L$66,1,0))&gt;3,VLOOKUP($A51,'1.kolo'!$O$3:$Q$66,3,0),VLOOKUP($A51,'1.kolo'!$L$3:$N$66,3,0))</f>
        <v>-6</v>
      </c>
      <c r="AJ51" s="333">
        <f t="shared" ca="1" si="19"/>
        <v>0</v>
      </c>
      <c r="AK51" s="333">
        <v>49</v>
      </c>
      <c r="AL51" s="442"/>
      <c r="AP51" s="333">
        <f ca="1">IF(TYPE(VLOOKUP($A51,'2.kolo'!$L$3:$L$66,1,0))&gt;3,IF(TYPE(VLOOKUP($A51,'2.kolo'!$K$3:$L$66,2,0))&gt;3,0,VLOOKUP($A51,'2.kolo'!$K$3:$L$66,2,0)),VLOOKUP($A51,'2.kolo'!$L$3:$O$66,4,0))</f>
        <v>18</v>
      </c>
      <c r="AQ51" s="333">
        <f ca="1">IF(TYPE(VLOOKUP($A51,'2.kolo'!$L$3:$L$66,1,0))&gt;3,IF(TYPE(VLOOKUP($A51,'2.kolo'!$O$3:$Q$66,2,0))&gt;3,0,VLOOKUP($A51,'2.kolo'!$O$3:$Q$66,2,0)),VLOOKUP($A51,'2.kolo'!$L$3:$N$66,2,0))</f>
        <v>1</v>
      </c>
      <c r="AR51" s="333">
        <f ca="1">IF(TYPE(VLOOKUP($A51,'2.kolo'!$L$3:$L$66,1,0))&gt;3,IF(TYPE(VLOOKUP($A51,'2.kolo'!$O$3:$Q$66,3,0))&gt;3,0,VLOOKUP($A51,'2.kolo'!$O$3:$Q$66,3,0)),VLOOKUP($A51,'2.kolo'!$L$3:$N$66,3,0))</f>
        <v>1</v>
      </c>
      <c r="AS51" s="333">
        <f t="shared" ca="1" si="20"/>
        <v>1</v>
      </c>
      <c r="AT51" s="415">
        <v>20</v>
      </c>
      <c r="AU51" s="442" t="str">
        <f ca="1">IF(AT51="","",CONCATENATE(TEXT($O51,"0"),IF(Start.listina!$Y$5="","",TEXT(500+$P51,"000")),TEXT(999999*RAND(),"000000")))</f>
        <v>2475860</v>
      </c>
      <c r="AV51" s="333">
        <f t="shared" ca="1" si="29"/>
        <v>0</v>
      </c>
      <c r="AY51" s="333">
        <f ca="1">IF(TYPE(VLOOKUP($A51,'3.kolo'!$L$3:$L$66,1,0))&gt;3,IF(TYPE(VLOOKUP($A51,'3.kolo'!$K$3:$L$66,2,0))&gt;3,0,VLOOKUP($A51,'3.kolo'!$K$3:$L$66,2,0)),VLOOKUP($A51,'3.kolo'!$L$3:$O$66,4,0))</f>
        <v>17</v>
      </c>
      <c r="AZ51" s="333">
        <f ca="1">IF(TYPE(VLOOKUP($A51,'3.kolo'!$L$3:$L$66,1,0))&gt;3,IF(TYPE(VLOOKUP($A51,'3.kolo'!$O$3:$Q$66,2,0))&gt;3,0,VLOOKUP($A51,'3.kolo'!$O$3:$Q$66,2,0)),VLOOKUP($A51,'3.kolo'!$L$3:$N$66,2,0))</f>
        <v>1</v>
      </c>
      <c r="BA51" s="333">
        <f ca="1">IF(TYPE(VLOOKUP($A51,'3.kolo'!$L$3:$L$66,1,0))&gt;3,IF(TYPE(VLOOKUP($A51,'3.kolo'!$O$3:$Q$66,3,0))&gt;3,0,VLOOKUP($A51,'3.kolo'!$O$3:$Q$66,3,0)),VLOOKUP($A51,'3.kolo'!$L$3:$N$66,3,0))</f>
        <v>2</v>
      </c>
      <c r="BB51" s="333">
        <f t="shared" ca="1" si="21"/>
        <v>1</v>
      </c>
      <c r="BC51" s="415">
        <v>41</v>
      </c>
      <c r="BD51" s="442" t="str">
        <f ca="1">IF(BC51="","",CONCATENATE(TEXT($O51,"0"),IF(Start.listina!$Y$5="","",TEXT(500+$P51,"000")),TEXT(999999*RAND(),"000000")))</f>
        <v>2728589</v>
      </c>
      <c r="BE51" s="333">
        <f t="shared" ca="1" si="30"/>
        <v>0</v>
      </c>
      <c r="BH51" s="333">
        <f ca="1">IF(TYPE(VLOOKUP($A51,'4.kolo'!$L$3:$L$66,1,0))&gt;3,IF(TYPE(VLOOKUP($A51,'4.kolo'!$K$3:$L$66,2,0))&gt;3,0,VLOOKUP($A51,'4.kolo'!$K$3:$L$66,2,0)),VLOOKUP($A51,'4.kolo'!$L$3:$O$66,4,0))</f>
        <v>10</v>
      </c>
      <c r="BI51" s="333">
        <f ca="1">IF(TYPE(VLOOKUP($A51,'4.kolo'!$L$3:$L$66,1,0))&gt;3,IF(TYPE(VLOOKUP($A51,'4.kolo'!$O$3:$Q$66,2,0))&gt;3,0,VLOOKUP($A51,'4.kolo'!$O$3:$Q$66,2,0)),VLOOKUP($A51,'4.kolo'!$L$3:$N$66,2,0))</f>
        <v>0</v>
      </c>
      <c r="BJ51" s="333">
        <f ca="1">IF(TYPE(VLOOKUP($A51,'4.kolo'!$L$3:$L$66,1,0))&gt;3,IF(TYPE(VLOOKUP($A51,'4.kolo'!$O$3:$Q$66,3,0))&gt;3,0,VLOOKUP($A51,'4.kolo'!$O$3:$Q$66,3,0)),VLOOKUP($A51,'4.kolo'!$L$3:$N$66,3,0))</f>
        <v>-11</v>
      </c>
      <c r="BK51" s="333">
        <f t="shared" ca="1" si="22"/>
        <v>0</v>
      </c>
      <c r="BL51" s="415">
        <v>36</v>
      </c>
      <c r="BM51" s="442" t="str">
        <f ca="1">IF(BL51="","",CONCATENATE(TEXT($O51,"0"),IF(Start.listina!$Y$5="","",TEXT(500+$P51,"000")),TEXT(999999*RAND(),"000000")))</f>
        <v>2951385</v>
      </c>
      <c r="BN51" s="333">
        <f t="shared" ca="1" si="31"/>
        <v>0</v>
      </c>
      <c r="BQ51" s="333">
        <f ca="1">IF(TYPE(VLOOKUP($A51,'5.kolo'!$L$3:$L$66,1,0))&gt;3,IF(TYPE(VLOOKUP($A51,'5.kolo'!$K$3:$L$66,2,0))&gt;3,0,VLOOKUP($A51,'5.kolo'!$K$3:$L$66,2,0)),VLOOKUP($A51,'5.kolo'!$L$3:$O$66,4,0))</f>
        <v>0</v>
      </c>
      <c r="BR51" s="333">
        <f ca="1">IF(TYPE(VLOOKUP($A51,'5.kolo'!$L$3:$L$66,1,0))&gt;3,IF(TYPE(VLOOKUP($A51,'5.kolo'!$O$3:$Q$66,2,0))&gt;3,0,VLOOKUP($A51,'5.kolo'!$O$3:$Q$66,2,0)),VLOOKUP($A51,'5.kolo'!$L$3:$N$66,2,0))</f>
        <v>0</v>
      </c>
      <c r="BS51" s="333">
        <f ca="1">IF(TYPE(VLOOKUP($A51,'5.kolo'!$L$3:$L$66,1,0))&gt;3,IF(TYPE(VLOOKUP($A51,'5.kolo'!$O$3:$Q$66,3,0))&gt;3,0,VLOOKUP($A51,'5.kolo'!$O$3:$Q$66,3,0)),VLOOKUP($A51,'5.kolo'!$L$3:$N$66,3,0))</f>
        <v>0</v>
      </c>
      <c r="BT51" s="333">
        <f t="shared" ca="1" si="23"/>
        <v>0</v>
      </c>
      <c r="BU51" s="415"/>
      <c r="BV51" s="442" t="str">
        <f ca="1">IF(BU51="","",CONCATENATE(TEXT($O51,"0"),IF(Start.listina!$Y$5="","",TEXT(500+$P51,"000")),TEXT(999999*RAND(),"000000")))</f>
        <v/>
      </c>
      <c r="BW51" s="333">
        <f t="shared" ca="1" si="32"/>
        <v>0</v>
      </c>
      <c r="BZ51" s="333">
        <f ca="1">IF(TYPE(VLOOKUP($A51,'6.kolo'!$L$3:$L$66,1,0))&gt;3,IF(TYPE(VLOOKUP($A51,'6.kolo'!$K$3:$L$66,2,0))&gt;3,0,VLOOKUP($A51,'6.kolo'!$K$3:$L$66,2,0)),VLOOKUP($A51,'6.kolo'!$L$3:$O$66,4,0))</f>
        <v>0</v>
      </c>
      <c r="CA51" s="333">
        <f ca="1">IF(TYPE(VLOOKUP($A51,'6.kolo'!$L$3:$L$66,1,0))&gt;3,IF(TYPE(VLOOKUP($A51,'6.kolo'!$O$3:$Q$66,2,0))&gt;3,0,VLOOKUP($A51,'6.kolo'!$O$3:$Q$66,2,0)),VLOOKUP($A51,'6.kolo'!$L$3:$N$66,2,0))</f>
        <v>0</v>
      </c>
      <c r="CB51" s="333">
        <f ca="1">IF(TYPE(VLOOKUP($A51,'6.kolo'!$L$3:$L$66,1,0))&gt;3,IF(TYPE(VLOOKUP($A51,'6.kolo'!$O$3:$Q$66,3,0))&gt;3,0,VLOOKUP($A51,'6.kolo'!$O$3:$Q$66,3,0)),VLOOKUP($A51,'6.kolo'!$L$3:$N$66,3,0))</f>
        <v>0</v>
      </c>
      <c r="CC51" s="333">
        <f t="shared" ca="1" si="24"/>
        <v>0</v>
      </c>
      <c r="CD51" s="415"/>
      <c r="CE51" s="442" t="str">
        <f ca="1">IF(CD51="","",CONCATENATE(TEXT($O51,"0"),IF(Start.listina!$Y$5="","",TEXT(500+$P51,"000")),TEXT(999999*RAND(),"000000")))</f>
        <v/>
      </c>
      <c r="CF51" s="333">
        <f t="shared" ca="1" si="33"/>
        <v>0</v>
      </c>
    </row>
    <row r="52" spans="1:84" x14ac:dyDescent="0.25">
      <c r="A52" s="333">
        <f>IF(OR(Start.listina!H60&gt;Start.listina!$K$7,Start.listina!G60=TRUE),"",Start.listina!H60)</f>
        <v>50</v>
      </c>
      <c r="B52" s="333">
        <f>IF($A52&gt;Start.listina!$K$7,"",INT(($A52-1)/Start.listina!$O$7)+1)</f>
        <v>2</v>
      </c>
      <c r="C52" s="439" t="str">
        <f>IF(OR(Start.listina!H60&gt;Start.listina!$K$7,Start.listina!G60=TRUE)," - ",Start.listina!AL60)</f>
        <v>50 SK Španielka Řepy - Čaněk Radovan</v>
      </c>
      <c r="D52" s="333">
        <f>IF(OR(A52&gt;Start.listina!$K$7,TYPE(VLOOKUP(A52,$V$3:$X$130,3,0))&gt;3),"",VLOOKUP(A52,$V$3:$X$130,3,0))</f>
        <v>19</v>
      </c>
      <c r="E52" s="440">
        <f ca="1">IF(A52&gt;Start.listina!$K$7,"",IF(MIN(F52:K52)&gt;Start.listina!$Y$4,D52,MIN(F52:K52)))</f>
        <v>19</v>
      </c>
      <c r="F52" s="333">
        <f ca="1">IF(TYPE(VLOOKUP(C52,Konečné_pořadí_1_16!$B$2:$D$17,3,0))&lt;4,VLOOKUP(C52,Konečné_pořadí_1_16!$B$2:$D$17,3,0),999)</f>
        <v>999</v>
      </c>
      <c r="G52" s="333">
        <f ca="1">IF(TYPE(VLOOKUP(C52,'KO64'!$D$4:$D$129,1,0))&lt;4,64,999)</f>
        <v>999</v>
      </c>
      <c r="H52" s="333">
        <f ca="1">IF(TYPE(VLOOKUP(C52,'KO32'!$D$4:$D$65,1,0))&lt;4,32,999)</f>
        <v>999</v>
      </c>
      <c r="I52" s="333">
        <f ca="1">IF(TYPE(VLOOKUP(C52,'KO16'!$D$4:$D$33,1,0))&lt;4,16,999)</f>
        <v>999</v>
      </c>
      <c r="J52" s="333">
        <f ca="1">IF(TYPE(VLOOKUP(C52,'KO8'!$D$4:$D$17,1,0))&lt;4,8,999)</f>
        <v>999</v>
      </c>
      <c r="K52" s="333">
        <f ca="1">IF(TYPE(VLOOKUP(C52,'KO4'!$D$4:$D$9,1,0))&lt;4,4,999)</f>
        <v>999</v>
      </c>
      <c r="M52" s="334">
        <v>50</v>
      </c>
      <c r="O52" s="333">
        <f t="shared" ca="1" si="8"/>
        <v>2</v>
      </c>
      <c r="P52" s="333">
        <f t="shared" ca="1" si="9"/>
        <v>-14</v>
      </c>
      <c r="Q52" s="333">
        <f t="shared" ca="1" si="26"/>
        <v>11</v>
      </c>
      <c r="R52" s="333">
        <f t="shared" ca="1" si="27"/>
        <v>4</v>
      </c>
      <c r="S52" s="333">
        <f t="shared" ca="1" si="10"/>
        <v>30</v>
      </c>
      <c r="T52" s="333">
        <f t="shared" ca="1" si="11"/>
        <v>2</v>
      </c>
      <c r="U52" s="415">
        <f t="shared" si="25"/>
        <v>50</v>
      </c>
      <c r="V52" s="415">
        <v>42</v>
      </c>
      <c r="W52" s="441" t="str">
        <f ca="1">IF($V52="","",CONCATENATE(TEXT($O52,"0"),IF(Start.listina!$Y$5="","",TEXT(500+$P52,"0000")),IF(Start.listina!$Y$6="","",CHOOSE(Start.listina!$Y$7,TEXT($Q52,"00"),CONCATENATE(TEXT($Q52,"00"),TEXT($S52,"000")), TEXT($R52,"00"))),TEXT(500+$P52,"0000"),IF(Start.listina!$Y$8="","",TEXT($T52,"0")),TEXT(999999*RAND(),"000000")))</f>
        <v>2110300486042166</v>
      </c>
      <c r="X52" s="417">
        <f t="shared" si="12"/>
        <v>50</v>
      </c>
      <c r="Y52" s="415">
        <f t="shared" ca="1" si="28"/>
        <v>0</v>
      </c>
      <c r="Z52" s="333">
        <f t="shared" ca="1" si="13"/>
        <v>25</v>
      </c>
      <c r="AA52" s="333">
        <f t="shared" ca="1" si="14"/>
        <v>6</v>
      </c>
      <c r="AB52" s="333">
        <f t="shared" ca="1" si="15"/>
        <v>15</v>
      </c>
      <c r="AC52" s="333">
        <f t="shared" ca="1" si="16"/>
        <v>20</v>
      </c>
      <c r="AD52" s="333">
        <f t="shared" ca="1" si="17"/>
        <v>0</v>
      </c>
      <c r="AE52" s="333">
        <f t="shared" ca="1" si="18"/>
        <v>0</v>
      </c>
      <c r="AG52" s="333">
        <f ca="1">IF(TYPE(VLOOKUP($A52,'1.kolo'!$L$3:$L$66,1,0))&gt;3,VLOOKUP($A52,'1.kolo'!$K$3:$L$66,2,0),VLOOKUP($A52,'1.kolo'!$L$3:$O$66,4,0))</f>
        <v>25</v>
      </c>
      <c r="AH52" s="333">
        <f ca="1">IF(TYPE(VLOOKUP($A52,'1.kolo'!$L$3:$L$66,1,0))&gt;3,VLOOKUP($A52,'1.kolo'!$O$3:$Q$66,2,0),VLOOKUP($A52,'1.kolo'!$L$3:$N$66,2,0))</f>
        <v>1</v>
      </c>
      <c r="AI52" s="333">
        <f ca="1">IF(TYPE(VLOOKUP($A52,'1.kolo'!$L$3:$L$66,1,0))&gt;3,VLOOKUP($A52,'1.kolo'!$O$3:$Q$66,3,0),VLOOKUP($A52,'1.kolo'!$L$3:$N$66,3,0))</f>
        <v>1</v>
      </c>
      <c r="AJ52" s="333">
        <f t="shared" ca="1" si="19"/>
        <v>1</v>
      </c>
      <c r="AK52" s="333">
        <v>50</v>
      </c>
      <c r="AL52" s="442"/>
      <c r="AP52" s="333">
        <f ca="1">IF(TYPE(VLOOKUP($A52,'2.kolo'!$L$3:$L$66,1,0))&gt;3,IF(TYPE(VLOOKUP($A52,'2.kolo'!$K$3:$L$66,2,0))&gt;3,0,VLOOKUP($A52,'2.kolo'!$K$3:$L$66,2,0)),VLOOKUP($A52,'2.kolo'!$L$3:$O$66,4,0))</f>
        <v>6</v>
      </c>
      <c r="AQ52" s="333">
        <f ca="1">IF(TYPE(VLOOKUP($A52,'2.kolo'!$L$3:$L$66,1,0))&gt;3,IF(TYPE(VLOOKUP($A52,'2.kolo'!$O$3:$Q$66,2,0))&gt;3,0,VLOOKUP($A52,'2.kolo'!$O$3:$Q$66,2,0)),VLOOKUP($A52,'2.kolo'!$L$3:$N$66,2,0))</f>
        <v>0</v>
      </c>
      <c r="AR52" s="333">
        <f ca="1">IF(TYPE(VLOOKUP($A52,'2.kolo'!$L$3:$L$66,1,0))&gt;3,IF(TYPE(VLOOKUP($A52,'2.kolo'!$O$3:$Q$66,3,0))&gt;3,0,VLOOKUP($A52,'2.kolo'!$O$3:$Q$66,3,0)),VLOOKUP($A52,'2.kolo'!$L$3:$N$66,3,0))</f>
        <v>-9</v>
      </c>
      <c r="AS52" s="333">
        <f t="shared" ca="1" si="20"/>
        <v>0</v>
      </c>
      <c r="AT52" s="415">
        <v>41</v>
      </c>
      <c r="AU52" s="442" t="str">
        <f ca="1">IF(AT52="","",CONCATENATE(TEXT($O52,"0"),IF(Start.listina!$Y$5="","",TEXT(500+$P52,"000")),TEXT(999999*RAND(),"000000")))</f>
        <v>2631464</v>
      </c>
      <c r="AV52" s="333">
        <f t="shared" ca="1" si="29"/>
        <v>0</v>
      </c>
      <c r="AY52" s="333">
        <f ca="1">IF(TYPE(VLOOKUP($A52,'3.kolo'!$L$3:$L$66,1,0))&gt;3,IF(TYPE(VLOOKUP($A52,'3.kolo'!$K$3:$L$66,2,0))&gt;3,0,VLOOKUP($A52,'3.kolo'!$K$3:$L$66,2,0)),VLOOKUP($A52,'3.kolo'!$L$3:$O$66,4,0))</f>
        <v>15</v>
      </c>
      <c r="AZ52" s="333">
        <f ca="1">IF(TYPE(VLOOKUP($A52,'3.kolo'!$L$3:$L$66,1,0))&gt;3,IF(TYPE(VLOOKUP($A52,'3.kolo'!$O$3:$Q$66,2,0))&gt;3,0,VLOOKUP($A52,'3.kolo'!$O$3:$Q$66,2,0)),VLOOKUP($A52,'3.kolo'!$L$3:$N$66,2,0))</f>
        <v>1</v>
      </c>
      <c r="BA52" s="333">
        <f ca="1">IF(TYPE(VLOOKUP($A52,'3.kolo'!$L$3:$L$66,1,0))&gt;3,IF(TYPE(VLOOKUP($A52,'3.kolo'!$O$3:$Q$66,3,0))&gt;3,0,VLOOKUP($A52,'3.kolo'!$O$3:$Q$66,3,0)),VLOOKUP($A52,'3.kolo'!$L$3:$N$66,3,0))</f>
        <v>1</v>
      </c>
      <c r="BB52" s="333">
        <f t="shared" ca="1" si="21"/>
        <v>1</v>
      </c>
      <c r="BC52" s="415">
        <v>30</v>
      </c>
      <c r="BD52" s="442" t="str">
        <f ca="1">IF(BC52="","",CONCATENATE(TEXT($O52,"0"),IF(Start.listina!$Y$5="","",TEXT(500+$P52,"000")),TEXT(999999*RAND(),"000000")))</f>
        <v>2864099</v>
      </c>
      <c r="BE52" s="333">
        <f t="shared" ca="1" si="30"/>
        <v>0</v>
      </c>
      <c r="BH52" s="333">
        <f ca="1">IF(TYPE(VLOOKUP($A52,'4.kolo'!$L$3:$L$66,1,0))&gt;3,IF(TYPE(VLOOKUP($A52,'4.kolo'!$K$3:$L$66,2,0))&gt;3,0,VLOOKUP($A52,'4.kolo'!$K$3:$L$66,2,0)),VLOOKUP($A52,'4.kolo'!$L$3:$O$66,4,0))</f>
        <v>20</v>
      </c>
      <c r="BI52" s="333">
        <f ca="1">IF(TYPE(VLOOKUP($A52,'4.kolo'!$L$3:$L$66,1,0))&gt;3,IF(TYPE(VLOOKUP($A52,'4.kolo'!$O$3:$Q$66,2,0))&gt;3,0,VLOOKUP($A52,'4.kolo'!$O$3:$Q$66,2,0)),VLOOKUP($A52,'4.kolo'!$L$3:$N$66,2,0))</f>
        <v>0</v>
      </c>
      <c r="BJ52" s="333">
        <f ca="1">IF(TYPE(VLOOKUP($A52,'4.kolo'!$L$3:$L$66,1,0))&gt;3,IF(TYPE(VLOOKUP($A52,'4.kolo'!$O$3:$Q$66,3,0))&gt;3,0,VLOOKUP($A52,'4.kolo'!$O$3:$Q$66,3,0)),VLOOKUP($A52,'4.kolo'!$L$3:$N$66,3,0))</f>
        <v>-7</v>
      </c>
      <c r="BK52" s="333">
        <f t="shared" ca="1" si="22"/>
        <v>0</v>
      </c>
      <c r="BL52" s="415">
        <v>39</v>
      </c>
      <c r="BM52" s="442" t="str">
        <f ca="1">IF(BL52="","",CONCATENATE(TEXT($O52,"0"),IF(Start.listina!$Y$5="","",TEXT(500+$P52,"000")),TEXT(999999*RAND(),"000000")))</f>
        <v>2214418</v>
      </c>
      <c r="BN52" s="333">
        <f t="shared" ca="1" si="31"/>
        <v>0</v>
      </c>
      <c r="BQ52" s="333">
        <f ca="1">IF(TYPE(VLOOKUP($A52,'5.kolo'!$L$3:$L$66,1,0))&gt;3,IF(TYPE(VLOOKUP($A52,'5.kolo'!$K$3:$L$66,2,0))&gt;3,0,VLOOKUP($A52,'5.kolo'!$K$3:$L$66,2,0)),VLOOKUP($A52,'5.kolo'!$L$3:$O$66,4,0))</f>
        <v>0</v>
      </c>
      <c r="BR52" s="333">
        <f ca="1">IF(TYPE(VLOOKUP($A52,'5.kolo'!$L$3:$L$66,1,0))&gt;3,IF(TYPE(VLOOKUP($A52,'5.kolo'!$O$3:$Q$66,2,0))&gt;3,0,VLOOKUP($A52,'5.kolo'!$O$3:$Q$66,2,0)),VLOOKUP($A52,'5.kolo'!$L$3:$N$66,2,0))</f>
        <v>0</v>
      </c>
      <c r="BS52" s="333">
        <f ca="1">IF(TYPE(VLOOKUP($A52,'5.kolo'!$L$3:$L$66,1,0))&gt;3,IF(TYPE(VLOOKUP($A52,'5.kolo'!$O$3:$Q$66,3,0))&gt;3,0,VLOOKUP($A52,'5.kolo'!$O$3:$Q$66,3,0)),VLOOKUP($A52,'5.kolo'!$L$3:$N$66,3,0))</f>
        <v>0</v>
      </c>
      <c r="BT52" s="333">
        <f t="shared" ca="1" si="23"/>
        <v>0</v>
      </c>
      <c r="BU52" s="415"/>
      <c r="BV52" s="442" t="str">
        <f ca="1">IF(BU52="","",CONCATENATE(TEXT($O52,"0"),IF(Start.listina!$Y$5="","",TEXT(500+$P52,"000")),TEXT(999999*RAND(),"000000")))</f>
        <v/>
      </c>
      <c r="BW52" s="333">
        <f t="shared" ca="1" si="32"/>
        <v>0</v>
      </c>
      <c r="BZ52" s="333">
        <f ca="1">IF(TYPE(VLOOKUP($A52,'6.kolo'!$L$3:$L$66,1,0))&gt;3,IF(TYPE(VLOOKUP($A52,'6.kolo'!$K$3:$L$66,2,0))&gt;3,0,VLOOKUP($A52,'6.kolo'!$K$3:$L$66,2,0)),VLOOKUP($A52,'6.kolo'!$L$3:$O$66,4,0))</f>
        <v>0</v>
      </c>
      <c r="CA52" s="333">
        <f ca="1">IF(TYPE(VLOOKUP($A52,'6.kolo'!$L$3:$L$66,1,0))&gt;3,IF(TYPE(VLOOKUP($A52,'6.kolo'!$O$3:$Q$66,2,0))&gt;3,0,VLOOKUP($A52,'6.kolo'!$O$3:$Q$66,2,0)),VLOOKUP($A52,'6.kolo'!$L$3:$N$66,2,0))</f>
        <v>0</v>
      </c>
      <c r="CB52" s="333">
        <f ca="1">IF(TYPE(VLOOKUP($A52,'6.kolo'!$L$3:$L$66,1,0))&gt;3,IF(TYPE(VLOOKUP($A52,'6.kolo'!$O$3:$Q$66,3,0))&gt;3,0,VLOOKUP($A52,'6.kolo'!$O$3:$Q$66,3,0)),VLOOKUP($A52,'6.kolo'!$L$3:$N$66,3,0))</f>
        <v>0</v>
      </c>
      <c r="CC52" s="333">
        <f t="shared" ca="1" si="24"/>
        <v>0</v>
      </c>
      <c r="CD52" s="415"/>
      <c r="CE52" s="442" t="str">
        <f ca="1">IF(CD52="","",CONCATENATE(TEXT($O52,"0"),IF(Start.listina!$Y$5="","",TEXT(500+$P52,"000")),TEXT(999999*RAND(),"000000")))</f>
        <v/>
      </c>
      <c r="CF52" s="333">
        <f t="shared" ca="1" si="33"/>
        <v>0</v>
      </c>
    </row>
    <row r="53" spans="1:84" x14ac:dyDescent="0.25">
      <c r="A53" s="333">
        <f>IF(OR(Start.listina!H61&gt;Start.listina!$K$7,Start.listina!G61=TRUE),"",Start.listina!H61)</f>
        <v>51</v>
      </c>
      <c r="B53" s="333">
        <f>IF($A53&gt;Start.listina!$K$7,"",INT(($A53-1)/Start.listina!$O$7)+1)</f>
        <v>2</v>
      </c>
      <c r="C53" s="439" t="str">
        <f>IF(OR(Start.listina!H61&gt;Start.listina!$K$7,Start.listina!G61=TRUE)," - ",Start.listina!AL61)</f>
        <v>51 CdP Loděnice - Tyrol Pavel</v>
      </c>
      <c r="D53" s="333">
        <f>IF(OR(A53&gt;Start.listina!$K$7,TYPE(VLOOKUP(A53,$V$3:$X$130,3,0))&gt;3),"",VLOOKUP(A53,$V$3:$X$130,3,0))</f>
        <v>35</v>
      </c>
      <c r="E53" s="440">
        <f ca="1">IF(A53&gt;Start.listina!$K$7,"",IF(MIN(F53:K53)&gt;Start.listina!$Y$4,D53,MIN(F53:K53)))</f>
        <v>35</v>
      </c>
      <c r="F53" s="333">
        <f ca="1">IF(TYPE(VLOOKUP(C53,Konečné_pořadí_1_16!$B$2:$D$17,3,0))&lt;4,VLOOKUP(C53,Konečné_pořadí_1_16!$B$2:$D$17,3,0),999)</f>
        <v>999</v>
      </c>
      <c r="G53" s="333">
        <f ca="1">IF(TYPE(VLOOKUP(C53,'KO64'!$D$4:$D$129,1,0))&lt;4,64,999)</f>
        <v>999</v>
      </c>
      <c r="H53" s="333">
        <f ca="1">IF(TYPE(VLOOKUP(C53,'KO32'!$D$4:$D$65,1,0))&lt;4,32,999)</f>
        <v>999</v>
      </c>
      <c r="I53" s="333">
        <f ca="1">IF(TYPE(VLOOKUP(C53,'KO16'!$D$4:$D$33,1,0))&lt;4,16,999)</f>
        <v>999</v>
      </c>
      <c r="J53" s="333">
        <f ca="1">IF(TYPE(VLOOKUP(C53,'KO8'!$D$4:$D$17,1,0))&lt;4,8,999)</f>
        <v>999</v>
      </c>
      <c r="K53" s="333">
        <f ca="1">IF(TYPE(VLOOKUP(C53,'KO4'!$D$4:$D$9,1,0))&lt;4,4,999)</f>
        <v>999</v>
      </c>
      <c r="M53" s="334">
        <v>51</v>
      </c>
      <c r="O53" s="333">
        <f t="shared" ca="1" si="8"/>
        <v>2</v>
      </c>
      <c r="P53" s="333">
        <f t="shared" ca="1" si="9"/>
        <v>-7</v>
      </c>
      <c r="Q53" s="333">
        <f t="shared" ca="1" si="26"/>
        <v>6</v>
      </c>
      <c r="R53" s="333">
        <f t="shared" ca="1" si="27"/>
        <v>1</v>
      </c>
      <c r="S53" s="333">
        <f t="shared" ca="1" si="10"/>
        <v>27</v>
      </c>
      <c r="T53" s="333">
        <f t="shared" ca="1" si="11"/>
        <v>0</v>
      </c>
      <c r="U53" s="415">
        <f t="shared" si="25"/>
        <v>51</v>
      </c>
      <c r="V53" s="415">
        <v>30</v>
      </c>
      <c r="W53" s="441" t="str">
        <f ca="1">IF($V53="","",CONCATENATE(TEXT($O53,"0"),IF(Start.listina!$Y$5="","",TEXT(500+$P53,"0000")),IF(Start.listina!$Y$6="","",CHOOSE(Start.listina!$Y$7,TEXT($Q53,"00"),CONCATENATE(TEXT($Q53,"00"),TEXT($S53,"000")), TEXT($R53,"00"))),TEXT(500+$P53,"0000"),IF(Start.listina!$Y$8="","",TEXT($T53,"0")),TEXT(999999*RAND(),"000000")))</f>
        <v>2060270493626522</v>
      </c>
      <c r="X53" s="417">
        <f t="shared" si="12"/>
        <v>51</v>
      </c>
      <c r="Y53" s="415">
        <f t="shared" ca="1" si="28"/>
        <v>0</v>
      </c>
      <c r="Z53" s="333" t="str">
        <f t="shared" ca="1" si="13"/>
        <v/>
      </c>
      <c r="AA53" s="333">
        <f t="shared" ca="1" si="14"/>
        <v>12</v>
      </c>
      <c r="AB53" s="333">
        <f t="shared" ca="1" si="15"/>
        <v>21</v>
      </c>
      <c r="AC53" s="333">
        <f t="shared" ca="1" si="16"/>
        <v>27</v>
      </c>
      <c r="AD53" s="333">
        <f t="shared" ca="1" si="17"/>
        <v>0</v>
      </c>
      <c r="AE53" s="333">
        <f t="shared" ca="1" si="18"/>
        <v>0</v>
      </c>
      <c r="AG53" s="333" t="str">
        <f ca="1">IF(TYPE(VLOOKUP($A53,'1.kolo'!$L$3:$L$66,1,0))&gt;3,VLOOKUP($A53,'1.kolo'!$K$3:$L$66,2,0),VLOOKUP($A53,'1.kolo'!$L$3:$O$66,4,0))</f>
        <v/>
      </c>
      <c r="AH53" s="333">
        <f ca="1">IF(TYPE(VLOOKUP($A53,'1.kolo'!$L$3:$L$66,1,0))&gt;3,VLOOKUP($A53,'1.kolo'!$O$3:$Q$66,2,0),VLOOKUP($A53,'1.kolo'!$L$3:$N$66,2,0))</f>
        <v>1</v>
      </c>
      <c r="AI53" s="333">
        <f ca="1">IF(TYPE(VLOOKUP($A53,'1.kolo'!$L$3:$L$66,1,0))&gt;3,VLOOKUP($A53,'1.kolo'!$O$3:$Q$66,3,0),VLOOKUP($A53,'1.kolo'!$L$3:$N$66,3,0))</f>
        <v>6</v>
      </c>
      <c r="AJ53" s="333">
        <f t="shared" ca="1" si="19"/>
        <v>0</v>
      </c>
      <c r="AK53" s="333">
        <v>51</v>
      </c>
      <c r="AL53" s="442"/>
      <c r="AP53" s="333">
        <f ca="1">IF(TYPE(VLOOKUP($A53,'2.kolo'!$L$3:$L$66,1,0))&gt;3,IF(TYPE(VLOOKUP($A53,'2.kolo'!$K$3:$L$66,2,0))&gt;3,0,VLOOKUP($A53,'2.kolo'!$K$3:$L$66,2,0)),VLOOKUP($A53,'2.kolo'!$L$3:$O$66,4,0))</f>
        <v>12</v>
      </c>
      <c r="AQ53" s="333">
        <f ca="1">IF(TYPE(VLOOKUP($A53,'2.kolo'!$L$3:$L$66,1,0))&gt;3,IF(TYPE(VLOOKUP($A53,'2.kolo'!$O$3:$Q$66,2,0))&gt;3,0,VLOOKUP($A53,'2.kolo'!$O$3:$Q$66,2,0)),VLOOKUP($A53,'2.kolo'!$L$3:$N$66,2,0))</f>
        <v>0</v>
      </c>
      <c r="AR53" s="333">
        <f ca="1">IF(TYPE(VLOOKUP($A53,'2.kolo'!$L$3:$L$66,1,0))&gt;3,IF(TYPE(VLOOKUP($A53,'2.kolo'!$O$3:$Q$66,3,0))&gt;3,0,VLOOKUP($A53,'2.kolo'!$O$3:$Q$66,3,0)),VLOOKUP($A53,'2.kolo'!$L$3:$N$66,3,0))</f>
        <v>-8</v>
      </c>
      <c r="AS53" s="333">
        <f t="shared" ca="1" si="20"/>
        <v>0</v>
      </c>
      <c r="AT53" s="415">
        <v>44</v>
      </c>
      <c r="AU53" s="442" t="str">
        <f ca="1">IF(AT53="","",CONCATENATE(TEXT($O53,"0"),IF(Start.listina!$Y$5="","",TEXT(500+$P53,"000")),TEXT(999999*RAND(),"000000")))</f>
        <v>2250031</v>
      </c>
      <c r="AV53" s="333">
        <f t="shared" ca="1" si="29"/>
        <v>0</v>
      </c>
      <c r="AY53" s="333">
        <f ca="1">IF(TYPE(VLOOKUP($A53,'3.kolo'!$L$3:$L$66,1,0))&gt;3,IF(TYPE(VLOOKUP($A53,'3.kolo'!$K$3:$L$66,2,0))&gt;3,0,VLOOKUP($A53,'3.kolo'!$K$3:$L$66,2,0)),VLOOKUP($A53,'3.kolo'!$L$3:$O$66,4,0))</f>
        <v>21</v>
      </c>
      <c r="AZ53" s="333">
        <f ca="1">IF(TYPE(VLOOKUP($A53,'3.kolo'!$L$3:$L$66,1,0))&gt;3,IF(TYPE(VLOOKUP($A53,'3.kolo'!$O$3:$Q$66,2,0))&gt;3,0,VLOOKUP($A53,'3.kolo'!$O$3:$Q$66,2,0)),VLOOKUP($A53,'3.kolo'!$L$3:$N$66,2,0))</f>
        <v>0</v>
      </c>
      <c r="BA53" s="333">
        <f ca="1">IF(TYPE(VLOOKUP($A53,'3.kolo'!$L$3:$L$66,1,0))&gt;3,IF(TYPE(VLOOKUP($A53,'3.kolo'!$O$3:$Q$66,3,0))&gt;3,0,VLOOKUP($A53,'3.kolo'!$O$3:$Q$66,3,0)),VLOOKUP($A53,'3.kolo'!$L$3:$N$66,3,0))</f>
        <v>-11</v>
      </c>
      <c r="BB53" s="333">
        <f t="shared" ca="1" si="21"/>
        <v>0</v>
      </c>
      <c r="BC53" s="415">
        <v>34</v>
      </c>
      <c r="BD53" s="442" t="str">
        <f ca="1">IF(BC53="","",CONCATENATE(TEXT($O53,"0"),IF(Start.listina!$Y$5="","",TEXT(500+$P53,"000")),TEXT(999999*RAND(),"000000")))</f>
        <v>2404376</v>
      </c>
      <c r="BE53" s="333">
        <f t="shared" ca="1" si="30"/>
        <v>0</v>
      </c>
      <c r="BH53" s="333">
        <f ca="1">IF(TYPE(VLOOKUP($A53,'4.kolo'!$L$3:$L$66,1,0))&gt;3,IF(TYPE(VLOOKUP($A53,'4.kolo'!$K$3:$L$66,2,0))&gt;3,0,VLOOKUP($A53,'4.kolo'!$K$3:$L$66,2,0)),VLOOKUP($A53,'4.kolo'!$L$3:$O$66,4,0))</f>
        <v>27</v>
      </c>
      <c r="BI53" s="333">
        <f ca="1">IF(TYPE(VLOOKUP($A53,'4.kolo'!$L$3:$L$66,1,0))&gt;3,IF(TYPE(VLOOKUP($A53,'4.kolo'!$O$3:$Q$66,2,0))&gt;3,0,VLOOKUP($A53,'4.kolo'!$O$3:$Q$66,2,0)),VLOOKUP($A53,'4.kolo'!$L$3:$N$66,2,0))</f>
        <v>1</v>
      </c>
      <c r="BJ53" s="333">
        <f ca="1">IF(TYPE(VLOOKUP($A53,'4.kolo'!$L$3:$L$66,1,0))&gt;3,IF(TYPE(VLOOKUP($A53,'4.kolo'!$O$3:$Q$66,3,0))&gt;3,0,VLOOKUP($A53,'4.kolo'!$O$3:$Q$66,3,0)),VLOOKUP($A53,'4.kolo'!$L$3:$N$66,3,0))</f>
        <v>6</v>
      </c>
      <c r="BK53" s="333">
        <f t="shared" ca="1" si="22"/>
        <v>0</v>
      </c>
      <c r="BL53" s="415">
        <v>33</v>
      </c>
      <c r="BM53" s="442" t="str">
        <f ca="1">IF(BL53="","",CONCATENATE(TEXT($O53,"0"),IF(Start.listina!$Y$5="","",TEXT(500+$P53,"000")),TEXT(999999*RAND(),"000000")))</f>
        <v>2081082</v>
      </c>
      <c r="BN53" s="333">
        <f t="shared" ca="1" si="31"/>
        <v>0</v>
      </c>
      <c r="BQ53" s="333">
        <f ca="1">IF(TYPE(VLOOKUP($A53,'5.kolo'!$L$3:$L$66,1,0))&gt;3,IF(TYPE(VLOOKUP($A53,'5.kolo'!$K$3:$L$66,2,0))&gt;3,0,VLOOKUP($A53,'5.kolo'!$K$3:$L$66,2,0)),VLOOKUP($A53,'5.kolo'!$L$3:$O$66,4,0))</f>
        <v>0</v>
      </c>
      <c r="BR53" s="333">
        <f ca="1">IF(TYPE(VLOOKUP($A53,'5.kolo'!$L$3:$L$66,1,0))&gt;3,IF(TYPE(VLOOKUP($A53,'5.kolo'!$O$3:$Q$66,2,0))&gt;3,0,VLOOKUP($A53,'5.kolo'!$O$3:$Q$66,2,0)),VLOOKUP($A53,'5.kolo'!$L$3:$N$66,2,0))</f>
        <v>0</v>
      </c>
      <c r="BS53" s="333">
        <f ca="1">IF(TYPE(VLOOKUP($A53,'5.kolo'!$L$3:$L$66,1,0))&gt;3,IF(TYPE(VLOOKUP($A53,'5.kolo'!$O$3:$Q$66,3,0))&gt;3,0,VLOOKUP($A53,'5.kolo'!$O$3:$Q$66,3,0)),VLOOKUP($A53,'5.kolo'!$L$3:$N$66,3,0))</f>
        <v>0</v>
      </c>
      <c r="BT53" s="333">
        <f t="shared" ca="1" si="23"/>
        <v>0</v>
      </c>
      <c r="BU53" s="415"/>
      <c r="BV53" s="442" t="str">
        <f ca="1">IF(BU53="","",CONCATENATE(TEXT($O53,"0"),IF(Start.listina!$Y$5="","",TEXT(500+$P53,"000")),TEXT(999999*RAND(),"000000")))</f>
        <v/>
      </c>
      <c r="BW53" s="333">
        <f t="shared" ca="1" si="32"/>
        <v>0</v>
      </c>
      <c r="BZ53" s="333">
        <f ca="1">IF(TYPE(VLOOKUP($A53,'6.kolo'!$L$3:$L$66,1,0))&gt;3,IF(TYPE(VLOOKUP($A53,'6.kolo'!$K$3:$L$66,2,0))&gt;3,0,VLOOKUP($A53,'6.kolo'!$K$3:$L$66,2,0)),VLOOKUP($A53,'6.kolo'!$L$3:$O$66,4,0))</f>
        <v>0</v>
      </c>
      <c r="CA53" s="333">
        <f ca="1">IF(TYPE(VLOOKUP($A53,'6.kolo'!$L$3:$L$66,1,0))&gt;3,IF(TYPE(VLOOKUP($A53,'6.kolo'!$O$3:$Q$66,2,0))&gt;3,0,VLOOKUP($A53,'6.kolo'!$O$3:$Q$66,2,0)),VLOOKUP($A53,'6.kolo'!$L$3:$N$66,2,0))</f>
        <v>0</v>
      </c>
      <c r="CB53" s="333">
        <f ca="1">IF(TYPE(VLOOKUP($A53,'6.kolo'!$L$3:$L$66,1,0))&gt;3,IF(TYPE(VLOOKUP($A53,'6.kolo'!$O$3:$Q$66,3,0))&gt;3,0,VLOOKUP($A53,'6.kolo'!$O$3:$Q$66,3,0)),VLOOKUP($A53,'6.kolo'!$L$3:$N$66,3,0))</f>
        <v>0</v>
      </c>
      <c r="CC53" s="333">
        <f t="shared" ca="1" si="24"/>
        <v>0</v>
      </c>
      <c r="CD53" s="415"/>
      <c r="CE53" s="442" t="str">
        <f ca="1">IF(CD53="","",CONCATENATE(TEXT($O53,"0"),IF(Start.listina!$Y$5="","",TEXT(500+$P53,"000")),TEXT(999999*RAND(),"000000")))</f>
        <v/>
      </c>
      <c r="CF53" s="333">
        <f t="shared" ca="1" si="33"/>
        <v>0</v>
      </c>
    </row>
    <row r="54" spans="1:84" x14ac:dyDescent="0.25">
      <c r="A54" s="333" t="str">
        <f>IF(OR(Start.listina!H62&gt;Start.listina!$K$7,Start.listina!G62=TRUE),"",Start.listina!H62)</f>
        <v/>
      </c>
      <c r="B54" s="333" t="str">
        <f>IF($A54&gt;Start.listina!$K$7,"",INT(($A54-1)/Start.listina!$O$7)+1)</f>
        <v/>
      </c>
      <c r="C54" s="439" t="str">
        <f>IF(OR(Start.listina!H62&gt;Start.listina!$K$7,Start.listina!G62=TRUE)," - ",Start.listina!AL62)</f>
        <v xml:space="preserve"> - </v>
      </c>
      <c r="D54" s="333" t="str">
        <f>IF(OR(A54&gt;Start.listina!$K$7,TYPE(VLOOKUP(A54,$V$3:$X$130,3,0))&gt;3),"",VLOOKUP(A54,$V$3:$X$130,3,0))</f>
        <v/>
      </c>
      <c r="E54" s="440" t="str">
        <f>IF(A54&gt;Start.listina!$K$7,"",IF(MIN(F54:K54)&gt;Start.listina!$Y$4,D54,MIN(F54:K54)))</f>
        <v/>
      </c>
      <c r="F54" s="333">
        <f ca="1">IF(TYPE(VLOOKUP(C54,Konečné_pořadí_1_16!$B$2:$D$17,3,0))&lt;4,VLOOKUP(C54,Konečné_pořadí_1_16!$B$2:$D$17,3,0),999)</f>
        <v>999</v>
      </c>
      <c r="G54" s="333">
        <f ca="1">IF(TYPE(VLOOKUP(C54,'KO64'!$D$4:$D$129,1,0))&lt;4,64,999)</f>
        <v>64</v>
      </c>
      <c r="H54" s="333">
        <f ca="1">IF(TYPE(VLOOKUP(C54,'KO32'!$D$4:$D$65,1,0))&lt;4,32,999)</f>
        <v>32</v>
      </c>
      <c r="I54" s="333">
        <f ca="1">IF(TYPE(VLOOKUP(C54,'KO16'!$D$4:$D$33,1,0))&lt;4,16,999)</f>
        <v>999</v>
      </c>
      <c r="J54" s="333">
        <f ca="1">IF(TYPE(VLOOKUP(C54,'KO8'!$D$4:$D$17,1,0))&lt;4,8,999)</f>
        <v>999</v>
      </c>
      <c r="K54" s="333">
        <f ca="1">IF(TYPE(VLOOKUP(C54,'KO4'!$D$4:$D$9,1,0))&lt;4,4,999)</f>
        <v>999</v>
      </c>
      <c r="M54" s="334">
        <v>52</v>
      </c>
      <c r="O54" s="333">
        <f t="shared" ca="1" si="8"/>
        <v>0</v>
      </c>
      <c r="P54" s="333">
        <f t="shared" ca="1" si="9"/>
        <v>0</v>
      </c>
      <c r="Q54" s="333">
        <f t="shared" ca="1" si="26"/>
        <v>2</v>
      </c>
      <c r="R54" s="333">
        <f t="shared" ca="1" si="27"/>
        <v>0</v>
      </c>
      <c r="S54" s="333">
        <f t="shared" ca="1" si="10"/>
        <v>16</v>
      </c>
      <c r="T54" s="333">
        <f t="shared" ca="1" si="11"/>
        <v>0</v>
      </c>
      <c r="U54" s="415">
        <f t="shared" si="25"/>
        <v>52</v>
      </c>
      <c r="V54" s="415" t="s">
        <v>2005</v>
      </c>
      <c r="W54" s="441" t="str">
        <f ca="1">IF($V54="","",CONCATENATE(TEXT($O54,"0"),IF(Start.listina!$Y$5="","",TEXT(500+$P54,"0000")),IF(Start.listina!$Y$6="","",CHOOSE(Start.listina!$Y$7,TEXT($Q54,"00"),CONCATENATE(TEXT($Q54,"00"),TEXT($S54,"000")), TEXT($R54,"00"))),TEXT(500+$P54,"0000"),IF(Start.listina!$Y$8="","",TEXT($T54,"0")),TEXT(999999*RAND(),"000000")))</f>
        <v/>
      </c>
      <c r="X54" s="417">
        <f t="shared" si="12"/>
        <v>52</v>
      </c>
      <c r="Y54" s="415">
        <f t="shared" ca="1" si="28"/>
        <v>0</v>
      </c>
      <c r="Z54" s="333">
        <f t="shared" ca="1" si="13"/>
        <v>51</v>
      </c>
      <c r="AA54" s="333" t="str">
        <f t="shared" ca="1" si="14"/>
        <v/>
      </c>
      <c r="AB54" s="333" t="str">
        <f t="shared" ca="1" si="15"/>
        <v/>
      </c>
      <c r="AC54" s="333" t="str">
        <f t="shared" ca="1" si="16"/>
        <v/>
      </c>
      <c r="AD54" s="333" t="str">
        <f t="shared" ca="1" si="17"/>
        <v/>
      </c>
      <c r="AE54" s="333" t="str">
        <f t="shared" ca="1" si="18"/>
        <v/>
      </c>
      <c r="AG54" s="333">
        <f ca="1">IF(TYPE(VLOOKUP($A54,'1.kolo'!$L$3:$L$66,1,0))&gt;3,VLOOKUP($A54,'1.kolo'!$K$3:$L$66,2,0),VLOOKUP($A54,'1.kolo'!$L$3:$O$66,4,0))</f>
        <v>51</v>
      </c>
      <c r="AH54" s="333">
        <f ca="1">IF(TYPE(VLOOKUP($A54,'1.kolo'!$L$3:$L$66,1,0))&gt;3,VLOOKUP($A54,'1.kolo'!$O$3:$Q$66,2,0),VLOOKUP($A54,'1.kolo'!$L$3:$N$66,2,0))</f>
        <v>0</v>
      </c>
      <c r="AI54" s="333">
        <f ca="1">IF(TYPE(VLOOKUP($A54,'1.kolo'!$L$3:$L$66,1,0))&gt;3,VLOOKUP($A54,'1.kolo'!$O$3:$Q$66,3,0),VLOOKUP($A54,'1.kolo'!$L$3:$N$66,3,0))</f>
        <v>0</v>
      </c>
      <c r="AJ54" s="333">
        <f t="shared" ca="1" si="19"/>
        <v>0</v>
      </c>
      <c r="AK54" s="333">
        <v>52</v>
      </c>
      <c r="AL54" s="442"/>
      <c r="AP54" s="333" t="str">
        <f ca="1">IF(TYPE(VLOOKUP($A54,'2.kolo'!$L$3:$L$66,1,0))&gt;3,IF(TYPE(VLOOKUP($A54,'2.kolo'!$K$3:$L$66,2,0))&gt;3,0,VLOOKUP($A54,'2.kolo'!$K$3:$L$66,2,0)),VLOOKUP($A54,'2.kolo'!$L$3:$O$66,4,0))</f>
        <v/>
      </c>
      <c r="AQ54" s="333">
        <f ca="1">IF(TYPE(VLOOKUP($A54,'2.kolo'!$L$3:$L$66,1,0))&gt;3,IF(TYPE(VLOOKUP($A54,'2.kolo'!$O$3:$Q$66,2,0))&gt;3,0,VLOOKUP($A54,'2.kolo'!$O$3:$Q$66,2,0)),VLOOKUP($A54,'2.kolo'!$L$3:$N$66,2,0))</f>
        <v>0</v>
      </c>
      <c r="AR54" s="333">
        <f ca="1">IF(TYPE(VLOOKUP($A54,'2.kolo'!$L$3:$L$66,1,0))&gt;3,IF(TYPE(VLOOKUP($A54,'2.kolo'!$O$3:$Q$66,3,0))&gt;3,0,VLOOKUP($A54,'2.kolo'!$O$3:$Q$66,3,0)),VLOOKUP($A54,'2.kolo'!$L$3:$N$66,3,0))</f>
        <v>0</v>
      </c>
      <c r="AS54" s="333">
        <f t="shared" ca="1" si="20"/>
        <v>0</v>
      </c>
      <c r="AT54" s="415" t="s">
        <v>2005</v>
      </c>
      <c r="AU54" s="442" t="str">
        <f ca="1">IF(AT54="","",CONCATENATE(TEXT($O54,"0"),IF(Start.listina!$Y$5="","",TEXT(500+$P54,"000")),TEXT(999999*RAND(),"000000")))</f>
        <v/>
      </c>
      <c r="AV54" s="333">
        <f t="shared" ca="1" si="29"/>
        <v>0</v>
      </c>
      <c r="AY54" s="333" t="str">
        <f ca="1">IF(TYPE(VLOOKUP($A54,'3.kolo'!$L$3:$L$66,1,0))&gt;3,IF(TYPE(VLOOKUP($A54,'3.kolo'!$K$3:$L$66,2,0))&gt;3,0,VLOOKUP($A54,'3.kolo'!$K$3:$L$66,2,0)),VLOOKUP($A54,'3.kolo'!$L$3:$O$66,4,0))</f>
        <v/>
      </c>
      <c r="AZ54" s="333">
        <f ca="1">IF(TYPE(VLOOKUP($A54,'3.kolo'!$L$3:$L$66,1,0))&gt;3,IF(TYPE(VLOOKUP($A54,'3.kolo'!$O$3:$Q$66,2,0))&gt;3,0,VLOOKUP($A54,'3.kolo'!$O$3:$Q$66,2,0)),VLOOKUP($A54,'3.kolo'!$L$3:$N$66,2,0))</f>
        <v>0</v>
      </c>
      <c r="BA54" s="333">
        <f ca="1">IF(TYPE(VLOOKUP($A54,'3.kolo'!$L$3:$L$66,1,0))&gt;3,IF(TYPE(VLOOKUP($A54,'3.kolo'!$O$3:$Q$66,3,0))&gt;3,0,VLOOKUP($A54,'3.kolo'!$O$3:$Q$66,3,0)),VLOOKUP($A54,'3.kolo'!$L$3:$N$66,3,0))</f>
        <v>0</v>
      </c>
      <c r="BB54" s="333">
        <f t="shared" ca="1" si="21"/>
        <v>0</v>
      </c>
      <c r="BC54" s="415" t="s">
        <v>2005</v>
      </c>
      <c r="BD54" s="442" t="str">
        <f ca="1">IF(BC54="","",CONCATENATE(TEXT($O54,"0"),IF(Start.listina!$Y$5="","",TEXT(500+$P54,"000")),TEXT(999999*RAND(),"000000")))</f>
        <v/>
      </c>
      <c r="BE54" s="333">
        <f t="shared" ca="1" si="30"/>
        <v>0</v>
      </c>
      <c r="BH54" s="333" t="str">
        <f ca="1">IF(TYPE(VLOOKUP($A54,'4.kolo'!$L$3:$L$66,1,0))&gt;3,IF(TYPE(VLOOKUP($A54,'4.kolo'!$K$3:$L$66,2,0))&gt;3,0,VLOOKUP($A54,'4.kolo'!$K$3:$L$66,2,0)),VLOOKUP($A54,'4.kolo'!$L$3:$O$66,4,0))</f>
        <v/>
      </c>
      <c r="BI54" s="333">
        <f ca="1">IF(TYPE(VLOOKUP($A54,'4.kolo'!$L$3:$L$66,1,0))&gt;3,IF(TYPE(VLOOKUP($A54,'4.kolo'!$O$3:$Q$66,2,0))&gt;3,0,VLOOKUP($A54,'4.kolo'!$O$3:$Q$66,2,0)),VLOOKUP($A54,'4.kolo'!$L$3:$N$66,2,0))</f>
        <v>0</v>
      </c>
      <c r="BJ54" s="333">
        <f ca="1">IF(TYPE(VLOOKUP($A54,'4.kolo'!$L$3:$L$66,1,0))&gt;3,IF(TYPE(VLOOKUP($A54,'4.kolo'!$O$3:$Q$66,3,0))&gt;3,0,VLOOKUP($A54,'4.kolo'!$O$3:$Q$66,3,0)),VLOOKUP($A54,'4.kolo'!$L$3:$N$66,3,0))</f>
        <v>0</v>
      </c>
      <c r="BK54" s="333">
        <f t="shared" ca="1" si="22"/>
        <v>0</v>
      </c>
      <c r="BL54" s="415" t="s">
        <v>2005</v>
      </c>
      <c r="BM54" s="442" t="str">
        <f ca="1">IF(BL54="","",CONCATENATE(TEXT($O54,"0"),IF(Start.listina!$Y$5="","",TEXT(500+$P54,"000")),TEXT(999999*RAND(),"000000")))</f>
        <v/>
      </c>
      <c r="BN54" s="333">
        <f t="shared" ca="1" si="31"/>
        <v>0</v>
      </c>
      <c r="BQ54" s="333" t="str">
        <f ca="1">IF(TYPE(VLOOKUP($A54,'5.kolo'!$L$3:$L$66,1,0))&gt;3,IF(TYPE(VLOOKUP($A54,'5.kolo'!$K$3:$L$66,2,0))&gt;3,0,VLOOKUP($A54,'5.kolo'!$K$3:$L$66,2,0)),VLOOKUP($A54,'5.kolo'!$L$3:$O$66,4,0))</f>
        <v/>
      </c>
      <c r="BR54" s="333">
        <f ca="1">IF(TYPE(VLOOKUP($A54,'5.kolo'!$L$3:$L$66,1,0))&gt;3,IF(TYPE(VLOOKUP($A54,'5.kolo'!$O$3:$Q$66,2,0))&gt;3,0,VLOOKUP($A54,'5.kolo'!$O$3:$Q$66,2,0)),VLOOKUP($A54,'5.kolo'!$L$3:$N$66,2,0))</f>
        <v>0</v>
      </c>
      <c r="BS54" s="333">
        <f ca="1">IF(TYPE(VLOOKUP($A54,'5.kolo'!$L$3:$L$66,1,0))&gt;3,IF(TYPE(VLOOKUP($A54,'5.kolo'!$O$3:$Q$66,3,0))&gt;3,0,VLOOKUP($A54,'5.kolo'!$O$3:$Q$66,3,0)),VLOOKUP($A54,'5.kolo'!$L$3:$N$66,3,0))</f>
        <v>0</v>
      </c>
      <c r="BT54" s="333">
        <f t="shared" ca="1" si="23"/>
        <v>0</v>
      </c>
      <c r="BU54" s="415"/>
      <c r="BV54" s="442" t="str">
        <f ca="1">IF(BU54="","",CONCATENATE(TEXT($O54,"0"),IF(Start.listina!$Y$5="","",TEXT(500+$P54,"000")),TEXT(999999*RAND(),"000000")))</f>
        <v/>
      </c>
      <c r="BW54" s="333">
        <f t="shared" ca="1" si="32"/>
        <v>0</v>
      </c>
      <c r="BZ54" s="333" t="str">
        <f ca="1">IF(TYPE(VLOOKUP($A54,'6.kolo'!$L$3:$L$66,1,0))&gt;3,IF(TYPE(VLOOKUP($A54,'6.kolo'!$K$3:$L$66,2,0))&gt;3,0,VLOOKUP($A54,'6.kolo'!$K$3:$L$66,2,0)),VLOOKUP($A54,'6.kolo'!$L$3:$O$66,4,0))</f>
        <v/>
      </c>
      <c r="CA54" s="333">
        <f ca="1">IF(TYPE(VLOOKUP($A54,'6.kolo'!$L$3:$L$66,1,0))&gt;3,IF(TYPE(VLOOKUP($A54,'6.kolo'!$O$3:$Q$66,2,0))&gt;3,0,VLOOKUP($A54,'6.kolo'!$O$3:$Q$66,2,0)),VLOOKUP($A54,'6.kolo'!$L$3:$N$66,2,0))</f>
        <v>0</v>
      </c>
      <c r="CB54" s="333">
        <f ca="1">IF(TYPE(VLOOKUP($A54,'6.kolo'!$L$3:$L$66,1,0))&gt;3,IF(TYPE(VLOOKUP($A54,'6.kolo'!$O$3:$Q$66,3,0))&gt;3,0,VLOOKUP($A54,'6.kolo'!$O$3:$Q$66,3,0)),VLOOKUP($A54,'6.kolo'!$L$3:$N$66,3,0))</f>
        <v>0</v>
      </c>
      <c r="CC54" s="333">
        <f t="shared" ca="1" si="24"/>
        <v>0</v>
      </c>
      <c r="CD54" s="415"/>
      <c r="CE54" s="442" t="str">
        <f ca="1">IF(CD54="","",CONCATENATE(TEXT($O54,"0"),IF(Start.listina!$Y$5="","",TEXT(500+$P54,"000")),TEXT(999999*RAND(),"000000")))</f>
        <v/>
      </c>
      <c r="CF54" s="333">
        <f t="shared" ca="1" si="33"/>
        <v>0</v>
      </c>
    </row>
    <row r="55" spans="1:84" x14ac:dyDescent="0.25">
      <c r="A55" s="333" t="str">
        <f>IF(OR(Start.listina!H63&gt;Start.listina!$K$7,Start.listina!G63=TRUE),"",Start.listina!H63)</f>
        <v/>
      </c>
      <c r="B55" s="333" t="str">
        <f>IF($A55&gt;Start.listina!$K$7,"",INT(($A55-1)/Start.listina!$O$7)+1)</f>
        <v/>
      </c>
      <c r="C55" s="439" t="str">
        <f>IF(OR(Start.listina!H63&gt;Start.listina!$K$7,Start.listina!G63=TRUE)," - ",Start.listina!AL63)</f>
        <v xml:space="preserve"> - </v>
      </c>
      <c r="D55" s="333" t="str">
        <f>IF(OR(A55&gt;Start.listina!$K$7,TYPE(VLOOKUP(A55,$V$3:$X$130,3,0))&gt;3),"",VLOOKUP(A55,$V$3:$X$130,3,0))</f>
        <v/>
      </c>
      <c r="E55" s="440" t="str">
        <f>IF(A55&gt;Start.listina!$K$7,"",IF(MIN(F55:K55)&gt;Start.listina!$Y$4,D55,MIN(F55:K55)))</f>
        <v/>
      </c>
      <c r="F55" s="333">
        <f ca="1">IF(TYPE(VLOOKUP(C55,Konečné_pořadí_1_16!$B$2:$D$17,3,0))&lt;4,VLOOKUP(C55,Konečné_pořadí_1_16!$B$2:$D$17,3,0),999)</f>
        <v>999</v>
      </c>
      <c r="G55" s="333">
        <f ca="1">IF(TYPE(VLOOKUP(C55,'KO64'!$D$4:$D$129,1,0))&lt;4,64,999)</f>
        <v>64</v>
      </c>
      <c r="H55" s="333">
        <f ca="1">IF(TYPE(VLOOKUP(C55,'KO32'!$D$4:$D$65,1,0))&lt;4,32,999)</f>
        <v>32</v>
      </c>
      <c r="I55" s="333">
        <f ca="1">IF(TYPE(VLOOKUP(C55,'KO16'!$D$4:$D$33,1,0))&lt;4,16,999)</f>
        <v>999</v>
      </c>
      <c r="J55" s="333">
        <f ca="1">IF(TYPE(VLOOKUP(C55,'KO8'!$D$4:$D$17,1,0))&lt;4,8,999)</f>
        <v>999</v>
      </c>
      <c r="K55" s="333">
        <f ca="1">IF(TYPE(VLOOKUP(C55,'KO4'!$D$4:$D$9,1,0))&lt;4,4,999)</f>
        <v>999</v>
      </c>
      <c r="M55" s="334">
        <v>53</v>
      </c>
      <c r="O55" s="333">
        <f t="shared" ca="1" si="8"/>
        <v>0</v>
      </c>
      <c r="P55" s="333">
        <f t="shared" ca="1" si="9"/>
        <v>0</v>
      </c>
      <c r="Q55" s="333">
        <f t="shared" ca="1" si="26"/>
        <v>2</v>
      </c>
      <c r="R55" s="333">
        <f t="shared" ca="1" si="27"/>
        <v>0</v>
      </c>
      <c r="S55" s="333">
        <f t="shared" ca="1" si="10"/>
        <v>16</v>
      </c>
      <c r="T55" s="333">
        <f t="shared" ca="1" si="11"/>
        <v>0</v>
      </c>
      <c r="U55" s="415">
        <f t="shared" si="25"/>
        <v>53</v>
      </c>
      <c r="V55" s="415" t="s">
        <v>2005</v>
      </c>
      <c r="W55" s="441" t="str">
        <f ca="1">IF($V55="","",CONCATENATE(TEXT($O55,"0"),IF(Start.listina!$Y$5="","",TEXT(500+$P55,"0000")),IF(Start.listina!$Y$6="","",CHOOSE(Start.listina!$Y$7,TEXT($Q55,"00"),CONCATENATE(TEXT($Q55,"00"),TEXT($S55,"000")), TEXT($R55,"00"))),TEXT(500+$P55,"0000"),IF(Start.listina!$Y$8="","",TEXT($T55,"0")),TEXT(999999*RAND(),"000000")))</f>
        <v/>
      </c>
      <c r="X55" s="417">
        <f t="shared" si="12"/>
        <v>53</v>
      </c>
      <c r="Y55" s="415">
        <f t="shared" ca="1" si="28"/>
        <v>0</v>
      </c>
      <c r="Z55" s="333">
        <f t="shared" ca="1" si="13"/>
        <v>51</v>
      </c>
      <c r="AA55" s="333" t="str">
        <f t="shared" ca="1" si="14"/>
        <v/>
      </c>
      <c r="AB55" s="333" t="str">
        <f t="shared" ca="1" si="15"/>
        <v/>
      </c>
      <c r="AC55" s="333" t="str">
        <f t="shared" ca="1" si="16"/>
        <v/>
      </c>
      <c r="AD55" s="333" t="str">
        <f t="shared" ca="1" si="17"/>
        <v/>
      </c>
      <c r="AE55" s="333" t="str">
        <f t="shared" ca="1" si="18"/>
        <v/>
      </c>
      <c r="AG55" s="333">
        <f ca="1">IF(TYPE(VLOOKUP($A55,'1.kolo'!$L$3:$L$66,1,0))&gt;3,VLOOKUP($A55,'1.kolo'!$K$3:$L$66,2,0),VLOOKUP($A55,'1.kolo'!$L$3:$O$66,4,0))</f>
        <v>51</v>
      </c>
      <c r="AH55" s="333">
        <f ca="1">IF(TYPE(VLOOKUP($A55,'1.kolo'!$L$3:$L$66,1,0))&gt;3,VLOOKUP($A55,'1.kolo'!$O$3:$Q$66,2,0),VLOOKUP($A55,'1.kolo'!$L$3:$N$66,2,0))</f>
        <v>0</v>
      </c>
      <c r="AI55" s="333">
        <f ca="1">IF(TYPE(VLOOKUP($A55,'1.kolo'!$L$3:$L$66,1,0))&gt;3,VLOOKUP($A55,'1.kolo'!$O$3:$Q$66,3,0),VLOOKUP($A55,'1.kolo'!$L$3:$N$66,3,0))</f>
        <v>0</v>
      </c>
      <c r="AJ55" s="333">
        <f t="shared" ca="1" si="19"/>
        <v>0</v>
      </c>
      <c r="AK55" s="333">
        <v>53</v>
      </c>
      <c r="AL55" s="442"/>
      <c r="AP55" s="333" t="str">
        <f ca="1">IF(TYPE(VLOOKUP($A55,'2.kolo'!$L$3:$L$66,1,0))&gt;3,IF(TYPE(VLOOKUP($A55,'2.kolo'!$K$3:$L$66,2,0))&gt;3,0,VLOOKUP($A55,'2.kolo'!$K$3:$L$66,2,0)),VLOOKUP($A55,'2.kolo'!$L$3:$O$66,4,0))</f>
        <v/>
      </c>
      <c r="AQ55" s="333">
        <f ca="1">IF(TYPE(VLOOKUP($A55,'2.kolo'!$L$3:$L$66,1,0))&gt;3,IF(TYPE(VLOOKUP($A55,'2.kolo'!$O$3:$Q$66,2,0))&gt;3,0,VLOOKUP($A55,'2.kolo'!$O$3:$Q$66,2,0)),VLOOKUP($A55,'2.kolo'!$L$3:$N$66,2,0))</f>
        <v>0</v>
      </c>
      <c r="AR55" s="333">
        <f ca="1">IF(TYPE(VLOOKUP($A55,'2.kolo'!$L$3:$L$66,1,0))&gt;3,IF(TYPE(VLOOKUP($A55,'2.kolo'!$O$3:$Q$66,3,0))&gt;3,0,VLOOKUP($A55,'2.kolo'!$O$3:$Q$66,3,0)),VLOOKUP($A55,'2.kolo'!$L$3:$N$66,3,0))</f>
        <v>0</v>
      </c>
      <c r="AS55" s="333">
        <f t="shared" ca="1" si="20"/>
        <v>0</v>
      </c>
      <c r="AT55" s="415" t="s">
        <v>2005</v>
      </c>
      <c r="AU55" s="442" t="str">
        <f ca="1">IF(AT55="","",CONCATENATE(TEXT($O55,"0"),IF(Start.listina!$Y$5="","",TEXT(500+$P55,"000")),TEXT(999999*RAND(),"000000")))</f>
        <v/>
      </c>
      <c r="AV55" s="333">
        <f t="shared" ca="1" si="29"/>
        <v>0</v>
      </c>
      <c r="AY55" s="333" t="str">
        <f ca="1">IF(TYPE(VLOOKUP($A55,'3.kolo'!$L$3:$L$66,1,0))&gt;3,IF(TYPE(VLOOKUP($A55,'3.kolo'!$K$3:$L$66,2,0))&gt;3,0,VLOOKUP($A55,'3.kolo'!$K$3:$L$66,2,0)),VLOOKUP($A55,'3.kolo'!$L$3:$O$66,4,0))</f>
        <v/>
      </c>
      <c r="AZ55" s="333">
        <f ca="1">IF(TYPE(VLOOKUP($A55,'3.kolo'!$L$3:$L$66,1,0))&gt;3,IF(TYPE(VLOOKUP($A55,'3.kolo'!$O$3:$Q$66,2,0))&gt;3,0,VLOOKUP($A55,'3.kolo'!$O$3:$Q$66,2,0)),VLOOKUP($A55,'3.kolo'!$L$3:$N$66,2,0))</f>
        <v>0</v>
      </c>
      <c r="BA55" s="333">
        <f ca="1">IF(TYPE(VLOOKUP($A55,'3.kolo'!$L$3:$L$66,1,0))&gt;3,IF(TYPE(VLOOKUP($A55,'3.kolo'!$O$3:$Q$66,3,0))&gt;3,0,VLOOKUP($A55,'3.kolo'!$O$3:$Q$66,3,0)),VLOOKUP($A55,'3.kolo'!$L$3:$N$66,3,0))</f>
        <v>0</v>
      </c>
      <c r="BB55" s="333">
        <f t="shared" ca="1" si="21"/>
        <v>0</v>
      </c>
      <c r="BC55" s="415" t="s">
        <v>2005</v>
      </c>
      <c r="BD55" s="442" t="str">
        <f ca="1">IF(BC55="","",CONCATENATE(TEXT($O55,"0"),IF(Start.listina!$Y$5="","",TEXT(500+$P55,"000")),TEXT(999999*RAND(),"000000")))</f>
        <v/>
      </c>
      <c r="BE55" s="333">
        <f t="shared" ca="1" si="30"/>
        <v>0</v>
      </c>
      <c r="BH55" s="333" t="str">
        <f ca="1">IF(TYPE(VLOOKUP($A55,'4.kolo'!$L$3:$L$66,1,0))&gt;3,IF(TYPE(VLOOKUP($A55,'4.kolo'!$K$3:$L$66,2,0))&gt;3,0,VLOOKUP($A55,'4.kolo'!$K$3:$L$66,2,0)),VLOOKUP($A55,'4.kolo'!$L$3:$O$66,4,0))</f>
        <v/>
      </c>
      <c r="BI55" s="333">
        <f ca="1">IF(TYPE(VLOOKUP($A55,'4.kolo'!$L$3:$L$66,1,0))&gt;3,IF(TYPE(VLOOKUP($A55,'4.kolo'!$O$3:$Q$66,2,0))&gt;3,0,VLOOKUP($A55,'4.kolo'!$O$3:$Q$66,2,0)),VLOOKUP($A55,'4.kolo'!$L$3:$N$66,2,0))</f>
        <v>0</v>
      </c>
      <c r="BJ55" s="333">
        <f ca="1">IF(TYPE(VLOOKUP($A55,'4.kolo'!$L$3:$L$66,1,0))&gt;3,IF(TYPE(VLOOKUP($A55,'4.kolo'!$O$3:$Q$66,3,0))&gt;3,0,VLOOKUP($A55,'4.kolo'!$O$3:$Q$66,3,0)),VLOOKUP($A55,'4.kolo'!$L$3:$N$66,3,0))</f>
        <v>0</v>
      </c>
      <c r="BK55" s="333">
        <f t="shared" ca="1" si="22"/>
        <v>0</v>
      </c>
      <c r="BL55" s="415" t="s">
        <v>2005</v>
      </c>
      <c r="BM55" s="442" t="str">
        <f ca="1">IF(BL55="","",CONCATENATE(TEXT($O55,"0"),IF(Start.listina!$Y$5="","",TEXT(500+$P55,"000")),TEXT(999999*RAND(),"000000")))</f>
        <v/>
      </c>
      <c r="BN55" s="333">
        <f t="shared" ca="1" si="31"/>
        <v>0</v>
      </c>
      <c r="BQ55" s="333" t="str">
        <f ca="1">IF(TYPE(VLOOKUP($A55,'5.kolo'!$L$3:$L$66,1,0))&gt;3,IF(TYPE(VLOOKUP($A55,'5.kolo'!$K$3:$L$66,2,0))&gt;3,0,VLOOKUP($A55,'5.kolo'!$K$3:$L$66,2,0)),VLOOKUP($A55,'5.kolo'!$L$3:$O$66,4,0))</f>
        <v/>
      </c>
      <c r="BR55" s="333">
        <f ca="1">IF(TYPE(VLOOKUP($A55,'5.kolo'!$L$3:$L$66,1,0))&gt;3,IF(TYPE(VLOOKUP($A55,'5.kolo'!$O$3:$Q$66,2,0))&gt;3,0,VLOOKUP($A55,'5.kolo'!$O$3:$Q$66,2,0)),VLOOKUP($A55,'5.kolo'!$L$3:$N$66,2,0))</f>
        <v>0</v>
      </c>
      <c r="BS55" s="333">
        <f ca="1">IF(TYPE(VLOOKUP($A55,'5.kolo'!$L$3:$L$66,1,0))&gt;3,IF(TYPE(VLOOKUP($A55,'5.kolo'!$O$3:$Q$66,3,0))&gt;3,0,VLOOKUP($A55,'5.kolo'!$O$3:$Q$66,3,0)),VLOOKUP($A55,'5.kolo'!$L$3:$N$66,3,0))</f>
        <v>0</v>
      </c>
      <c r="BT55" s="333">
        <f t="shared" ca="1" si="23"/>
        <v>0</v>
      </c>
      <c r="BU55" s="415"/>
      <c r="BV55" s="442" t="str">
        <f ca="1">IF(BU55="","",CONCATENATE(TEXT($O55,"0"),IF(Start.listina!$Y$5="","",TEXT(500+$P55,"000")),TEXT(999999*RAND(),"000000")))</f>
        <v/>
      </c>
      <c r="BW55" s="333">
        <f t="shared" ca="1" si="32"/>
        <v>0</v>
      </c>
      <c r="BZ55" s="333" t="str">
        <f ca="1">IF(TYPE(VLOOKUP($A55,'6.kolo'!$L$3:$L$66,1,0))&gt;3,IF(TYPE(VLOOKUP($A55,'6.kolo'!$K$3:$L$66,2,0))&gt;3,0,VLOOKUP($A55,'6.kolo'!$K$3:$L$66,2,0)),VLOOKUP($A55,'6.kolo'!$L$3:$O$66,4,0))</f>
        <v/>
      </c>
      <c r="CA55" s="333">
        <f ca="1">IF(TYPE(VLOOKUP($A55,'6.kolo'!$L$3:$L$66,1,0))&gt;3,IF(TYPE(VLOOKUP($A55,'6.kolo'!$O$3:$Q$66,2,0))&gt;3,0,VLOOKUP($A55,'6.kolo'!$O$3:$Q$66,2,0)),VLOOKUP($A55,'6.kolo'!$L$3:$N$66,2,0))</f>
        <v>0</v>
      </c>
      <c r="CB55" s="333">
        <f ca="1">IF(TYPE(VLOOKUP($A55,'6.kolo'!$L$3:$L$66,1,0))&gt;3,IF(TYPE(VLOOKUP($A55,'6.kolo'!$O$3:$Q$66,3,0))&gt;3,0,VLOOKUP($A55,'6.kolo'!$O$3:$Q$66,3,0)),VLOOKUP($A55,'6.kolo'!$L$3:$N$66,3,0))</f>
        <v>0</v>
      </c>
      <c r="CC55" s="333">
        <f t="shared" ca="1" si="24"/>
        <v>0</v>
      </c>
      <c r="CD55" s="415"/>
      <c r="CE55" s="442" t="str">
        <f ca="1">IF(CD55="","",CONCATENATE(TEXT($O55,"0"),IF(Start.listina!$Y$5="","",TEXT(500+$P55,"000")),TEXT(999999*RAND(),"000000")))</f>
        <v/>
      </c>
      <c r="CF55" s="333">
        <f t="shared" ca="1" si="33"/>
        <v>0</v>
      </c>
    </row>
    <row r="56" spans="1:84" x14ac:dyDescent="0.25">
      <c r="A56" s="333" t="str">
        <f>IF(OR(Start.listina!H64&gt;Start.listina!$K$7,Start.listina!G64=TRUE),"",Start.listina!H64)</f>
        <v/>
      </c>
      <c r="B56" s="333" t="str">
        <f>IF($A56&gt;Start.listina!$K$7,"",INT(($A56-1)/Start.listina!$O$7)+1)</f>
        <v/>
      </c>
      <c r="C56" s="439" t="str">
        <f>IF(OR(Start.listina!H64&gt;Start.listina!$K$7,Start.listina!G64=TRUE)," - ",Start.listina!AL64)</f>
        <v xml:space="preserve"> - </v>
      </c>
      <c r="D56" s="333" t="str">
        <f>IF(OR(A56&gt;Start.listina!$K$7,TYPE(VLOOKUP(A56,$V$3:$X$130,3,0))&gt;3),"",VLOOKUP(A56,$V$3:$X$130,3,0))</f>
        <v/>
      </c>
      <c r="E56" s="440" t="str">
        <f>IF(A56&gt;Start.listina!$K$7,"",IF(MIN(F56:K56)&gt;Start.listina!$Y$4,D56,MIN(F56:K56)))</f>
        <v/>
      </c>
      <c r="F56" s="333">
        <f ca="1">IF(TYPE(VLOOKUP(C56,Konečné_pořadí_1_16!$B$2:$D$17,3,0))&lt;4,VLOOKUP(C56,Konečné_pořadí_1_16!$B$2:$D$17,3,0),999)</f>
        <v>999</v>
      </c>
      <c r="G56" s="333">
        <f ca="1">IF(TYPE(VLOOKUP(C56,'KO64'!$D$4:$D$129,1,0))&lt;4,64,999)</f>
        <v>64</v>
      </c>
      <c r="H56" s="333">
        <f ca="1">IF(TYPE(VLOOKUP(C56,'KO32'!$D$4:$D$65,1,0))&lt;4,32,999)</f>
        <v>32</v>
      </c>
      <c r="I56" s="333">
        <f ca="1">IF(TYPE(VLOOKUP(C56,'KO16'!$D$4:$D$33,1,0))&lt;4,16,999)</f>
        <v>999</v>
      </c>
      <c r="J56" s="333">
        <f ca="1">IF(TYPE(VLOOKUP(C56,'KO8'!$D$4:$D$17,1,0))&lt;4,8,999)</f>
        <v>999</v>
      </c>
      <c r="K56" s="333">
        <f ca="1">IF(TYPE(VLOOKUP(C56,'KO4'!$D$4:$D$9,1,0))&lt;4,4,999)</f>
        <v>999</v>
      </c>
      <c r="M56" s="334">
        <v>54</v>
      </c>
      <c r="O56" s="333">
        <f t="shared" ca="1" si="8"/>
        <v>0</v>
      </c>
      <c r="P56" s="333">
        <f t="shared" ca="1" si="9"/>
        <v>0</v>
      </c>
      <c r="Q56" s="333">
        <f t="shared" ca="1" si="26"/>
        <v>2</v>
      </c>
      <c r="R56" s="333">
        <f t="shared" ca="1" si="27"/>
        <v>0</v>
      </c>
      <c r="S56" s="333">
        <f t="shared" ca="1" si="10"/>
        <v>16</v>
      </c>
      <c r="T56" s="333">
        <f t="shared" ca="1" si="11"/>
        <v>0</v>
      </c>
      <c r="U56" s="415">
        <f t="shared" si="25"/>
        <v>54</v>
      </c>
      <c r="V56" s="415" t="s">
        <v>2005</v>
      </c>
      <c r="W56" s="441" t="str">
        <f ca="1">IF($V56="","",CONCATENATE(TEXT($O56,"0"),IF(Start.listina!$Y$5="","",TEXT(500+$P56,"0000")),IF(Start.listina!$Y$6="","",CHOOSE(Start.listina!$Y$7,TEXT($Q56,"00"),CONCATENATE(TEXT($Q56,"00"),TEXT($S56,"000")), TEXT($R56,"00"))),TEXT(500+$P56,"0000"),IF(Start.listina!$Y$8="","",TEXT($T56,"0")),TEXT(999999*RAND(),"000000")))</f>
        <v/>
      </c>
      <c r="X56" s="417">
        <f t="shared" si="12"/>
        <v>54</v>
      </c>
      <c r="Y56" s="415">
        <f t="shared" ca="1" si="28"/>
        <v>0</v>
      </c>
      <c r="Z56" s="333">
        <f t="shared" ca="1" si="13"/>
        <v>51</v>
      </c>
      <c r="AA56" s="333" t="str">
        <f t="shared" ca="1" si="14"/>
        <v/>
      </c>
      <c r="AB56" s="333" t="str">
        <f t="shared" ca="1" si="15"/>
        <v/>
      </c>
      <c r="AC56" s="333" t="str">
        <f t="shared" ca="1" si="16"/>
        <v/>
      </c>
      <c r="AD56" s="333" t="str">
        <f t="shared" ca="1" si="17"/>
        <v/>
      </c>
      <c r="AE56" s="333" t="str">
        <f t="shared" ca="1" si="18"/>
        <v/>
      </c>
      <c r="AG56" s="333">
        <f ca="1">IF(TYPE(VLOOKUP($A56,'1.kolo'!$L$3:$L$66,1,0))&gt;3,VLOOKUP($A56,'1.kolo'!$K$3:$L$66,2,0),VLOOKUP($A56,'1.kolo'!$L$3:$O$66,4,0))</f>
        <v>51</v>
      </c>
      <c r="AH56" s="333">
        <f ca="1">IF(TYPE(VLOOKUP($A56,'1.kolo'!$L$3:$L$66,1,0))&gt;3,VLOOKUP($A56,'1.kolo'!$O$3:$Q$66,2,0),VLOOKUP($A56,'1.kolo'!$L$3:$N$66,2,0))</f>
        <v>0</v>
      </c>
      <c r="AI56" s="333">
        <f ca="1">IF(TYPE(VLOOKUP($A56,'1.kolo'!$L$3:$L$66,1,0))&gt;3,VLOOKUP($A56,'1.kolo'!$O$3:$Q$66,3,0),VLOOKUP($A56,'1.kolo'!$L$3:$N$66,3,0))</f>
        <v>0</v>
      </c>
      <c r="AJ56" s="333">
        <f t="shared" ca="1" si="19"/>
        <v>0</v>
      </c>
      <c r="AK56" s="333">
        <v>54</v>
      </c>
      <c r="AL56" s="442"/>
      <c r="AP56" s="333" t="str">
        <f ca="1">IF(TYPE(VLOOKUP($A56,'2.kolo'!$L$3:$L$66,1,0))&gt;3,IF(TYPE(VLOOKUP($A56,'2.kolo'!$K$3:$L$66,2,0))&gt;3,0,VLOOKUP($A56,'2.kolo'!$K$3:$L$66,2,0)),VLOOKUP($A56,'2.kolo'!$L$3:$O$66,4,0))</f>
        <v/>
      </c>
      <c r="AQ56" s="333">
        <f ca="1">IF(TYPE(VLOOKUP($A56,'2.kolo'!$L$3:$L$66,1,0))&gt;3,IF(TYPE(VLOOKUP($A56,'2.kolo'!$O$3:$Q$66,2,0))&gt;3,0,VLOOKUP($A56,'2.kolo'!$O$3:$Q$66,2,0)),VLOOKUP($A56,'2.kolo'!$L$3:$N$66,2,0))</f>
        <v>0</v>
      </c>
      <c r="AR56" s="333">
        <f ca="1">IF(TYPE(VLOOKUP($A56,'2.kolo'!$L$3:$L$66,1,0))&gt;3,IF(TYPE(VLOOKUP($A56,'2.kolo'!$O$3:$Q$66,3,0))&gt;3,0,VLOOKUP($A56,'2.kolo'!$O$3:$Q$66,3,0)),VLOOKUP($A56,'2.kolo'!$L$3:$N$66,3,0))</f>
        <v>0</v>
      </c>
      <c r="AS56" s="333">
        <f t="shared" ca="1" si="20"/>
        <v>0</v>
      </c>
      <c r="AT56" s="415" t="s">
        <v>2005</v>
      </c>
      <c r="AU56" s="442" t="str">
        <f ca="1">IF(AT56="","",CONCATENATE(TEXT($O56,"0"),IF(Start.listina!$Y$5="","",TEXT(500+$P56,"000")),TEXT(999999*RAND(),"000000")))</f>
        <v/>
      </c>
      <c r="AV56" s="333">
        <f t="shared" ca="1" si="29"/>
        <v>0</v>
      </c>
      <c r="AY56" s="333" t="str">
        <f ca="1">IF(TYPE(VLOOKUP($A56,'3.kolo'!$L$3:$L$66,1,0))&gt;3,IF(TYPE(VLOOKUP($A56,'3.kolo'!$K$3:$L$66,2,0))&gt;3,0,VLOOKUP($A56,'3.kolo'!$K$3:$L$66,2,0)),VLOOKUP($A56,'3.kolo'!$L$3:$O$66,4,0))</f>
        <v/>
      </c>
      <c r="AZ56" s="333">
        <f ca="1">IF(TYPE(VLOOKUP($A56,'3.kolo'!$L$3:$L$66,1,0))&gt;3,IF(TYPE(VLOOKUP($A56,'3.kolo'!$O$3:$Q$66,2,0))&gt;3,0,VLOOKUP($A56,'3.kolo'!$O$3:$Q$66,2,0)),VLOOKUP($A56,'3.kolo'!$L$3:$N$66,2,0))</f>
        <v>0</v>
      </c>
      <c r="BA56" s="333">
        <f ca="1">IF(TYPE(VLOOKUP($A56,'3.kolo'!$L$3:$L$66,1,0))&gt;3,IF(TYPE(VLOOKUP($A56,'3.kolo'!$O$3:$Q$66,3,0))&gt;3,0,VLOOKUP($A56,'3.kolo'!$O$3:$Q$66,3,0)),VLOOKUP($A56,'3.kolo'!$L$3:$N$66,3,0))</f>
        <v>0</v>
      </c>
      <c r="BB56" s="333">
        <f t="shared" ca="1" si="21"/>
        <v>0</v>
      </c>
      <c r="BC56" s="415" t="s">
        <v>2005</v>
      </c>
      <c r="BD56" s="442" t="str">
        <f ca="1">IF(BC56="","",CONCATENATE(TEXT($O56,"0"),IF(Start.listina!$Y$5="","",TEXT(500+$P56,"000")),TEXT(999999*RAND(),"000000")))</f>
        <v/>
      </c>
      <c r="BE56" s="333">
        <f t="shared" ca="1" si="30"/>
        <v>0</v>
      </c>
      <c r="BH56" s="333" t="str">
        <f ca="1">IF(TYPE(VLOOKUP($A56,'4.kolo'!$L$3:$L$66,1,0))&gt;3,IF(TYPE(VLOOKUP($A56,'4.kolo'!$K$3:$L$66,2,0))&gt;3,0,VLOOKUP($A56,'4.kolo'!$K$3:$L$66,2,0)),VLOOKUP($A56,'4.kolo'!$L$3:$O$66,4,0))</f>
        <v/>
      </c>
      <c r="BI56" s="333">
        <f ca="1">IF(TYPE(VLOOKUP($A56,'4.kolo'!$L$3:$L$66,1,0))&gt;3,IF(TYPE(VLOOKUP($A56,'4.kolo'!$O$3:$Q$66,2,0))&gt;3,0,VLOOKUP($A56,'4.kolo'!$O$3:$Q$66,2,0)),VLOOKUP($A56,'4.kolo'!$L$3:$N$66,2,0))</f>
        <v>0</v>
      </c>
      <c r="BJ56" s="333">
        <f ca="1">IF(TYPE(VLOOKUP($A56,'4.kolo'!$L$3:$L$66,1,0))&gt;3,IF(TYPE(VLOOKUP($A56,'4.kolo'!$O$3:$Q$66,3,0))&gt;3,0,VLOOKUP($A56,'4.kolo'!$O$3:$Q$66,3,0)),VLOOKUP($A56,'4.kolo'!$L$3:$N$66,3,0))</f>
        <v>0</v>
      </c>
      <c r="BK56" s="333">
        <f t="shared" ca="1" si="22"/>
        <v>0</v>
      </c>
      <c r="BL56" s="415" t="s">
        <v>2005</v>
      </c>
      <c r="BM56" s="442" t="str">
        <f ca="1">IF(BL56="","",CONCATENATE(TEXT($O56,"0"),IF(Start.listina!$Y$5="","",TEXT(500+$P56,"000")),TEXT(999999*RAND(),"000000")))</f>
        <v/>
      </c>
      <c r="BN56" s="333">
        <f t="shared" ca="1" si="31"/>
        <v>0</v>
      </c>
      <c r="BQ56" s="333" t="str">
        <f ca="1">IF(TYPE(VLOOKUP($A56,'5.kolo'!$L$3:$L$66,1,0))&gt;3,IF(TYPE(VLOOKUP($A56,'5.kolo'!$K$3:$L$66,2,0))&gt;3,0,VLOOKUP($A56,'5.kolo'!$K$3:$L$66,2,0)),VLOOKUP($A56,'5.kolo'!$L$3:$O$66,4,0))</f>
        <v/>
      </c>
      <c r="BR56" s="333">
        <f ca="1">IF(TYPE(VLOOKUP($A56,'5.kolo'!$L$3:$L$66,1,0))&gt;3,IF(TYPE(VLOOKUP($A56,'5.kolo'!$O$3:$Q$66,2,0))&gt;3,0,VLOOKUP($A56,'5.kolo'!$O$3:$Q$66,2,0)),VLOOKUP($A56,'5.kolo'!$L$3:$N$66,2,0))</f>
        <v>0</v>
      </c>
      <c r="BS56" s="333">
        <f ca="1">IF(TYPE(VLOOKUP($A56,'5.kolo'!$L$3:$L$66,1,0))&gt;3,IF(TYPE(VLOOKUP($A56,'5.kolo'!$O$3:$Q$66,3,0))&gt;3,0,VLOOKUP($A56,'5.kolo'!$O$3:$Q$66,3,0)),VLOOKUP($A56,'5.kolo'!$L$3:$N$66,3,0))</f>
        <v>0</v>
      </c>
      <c r="BT56" s="333">
        <f t="shared" ca="1" si="23"/>
        <v>0</v>
      </c>
      <c r="BU56" s="415"/>
      <c r="BV56" s="442" t="str">
        <f ca="1">IF(BU56="","",CONCATENATE(TEXT($O56,"0"),IF(Start.listina!$Y$5="","",TEXT(500+$P56,"000")),TEXT(999999*RAND(),"000000")))</f>
        <v/>
      </c>
      <c r="BW56" s="333">
        <f t="shared" ca="1" si="32"/>
        <v>0</v>
      </c>
      <c r="BZ56" s="333" t="str">
        <f ca="1">IF(TYPE(VLOOKUP($A56,'6.kolo'!$L$3:$L$66,1,0))&gt;3,IF(TYPE(VLOOKUP($A56,'6.kolo'!$K$3:$L$66,2,0))&gt;3,0,VLOOKUP($A56,'6.kolo'!$K$3:$L$66,2,0)),VLOOKUP($A56,'6.kolo'!$L$3:$O$66,4,0))</f>
        <v/>
      </c>
      <c r="CA56" s="333">
        <f ca="1">IF(TYPE(VLOOKUP($A56,'6.kolo'!$L$3:$L$66,1,0))&gt;3,IF(TYPE(VLOOKUP($A56,'6.kolo'!$O$3:$Q$66,2,0))&gt;3,0,VLOOKUP($A56,'6.kolo'!$O$3:$Q$66,2,0)),VLOOKUP($A56,'6.kolo'!$L$3:$N$66,2,0))</f>
        <v>0</v>
      </c>
      <c r="CB56" s="333">
        <f ca="1">IF(TYPE(VLOOKUP($A56,'6.kolo'!$L$3:$L$66,1,0))&gt;3,IF(TYPE(VLOOKUP($A56,'6.kolo'!$O$3:$Q$66,3,0))&gt;3,0,VLOOKUP($A56,'6.kolo'!$O$3:$Q$66,3,0)),VLOOKUP($A56,'6.kolo'!$L$3:$N$66,3,0))</f>
        <v>0</v>
      </c>
      <c r="CC56" s="333">
        <f t="shared" ca="1" si="24"/>
        <v>0</v>
      </c>
      <c r="CD56" s="415"/>
      <c r="CE56" s="442" t="str">
        <f ca="1">IF(CD56="","",CONCATENATE(TEXT($O56,"0"),IF(Start.listina!$Y$5="","",TEXT(500+$P56,"000")),TEXT(999999*RAND(),"000000")))</f>
        <v/>
      </c>
      <c r="CF56" s="333">
        <f t="shared" ca="1" si="33"/>
        <v>0</v>
      </c>
    </row>
    <row r="57" spans="1:84" x14ac:dyDescent="0.25">
      <c r="A57" s="333" t="str">
        <f>IF(OR(Start.listina!H65&gt;Start.listina!$K$7,Start.listina!G65=TRUE),"",Start.listina!H65)</f>
        <v/>
      </c>
      <c r="B57" s="333" t="str">
        <f>IF($A57&gt;Start.listina!$K$7,"",INT(($A57-1)/Start.listina!$O$7)+1)</f>
        <v/>
      </c>
      <c r="C57" s="439" t="str">
        <f>IF(OR(Start.listina!H65&gt;Start.listina!$K$7,Start.listina!G65=TRUE)," - ",Start.listina!AL65)</f>
        <v xml:space="preserve"> - </v>
      </c>
      <c r="D57" s="333" t="str">
        <f>IF(OR(A57&gt;Start.listina!$K$7,TYPE(VLOOKUP(A57,$V$3:$X$130,3,0))&gt;3),"",VLOOKUP(A57,$V$3:$X$130,3,0))</f>
        <v/>
      </c>
      <c r="E57" s="440" t="str">
        <f>IF(A57&gt;Start.listina!$K$7,"",IF(MIN(F57:K57)&gt;Start.listina!$Y$4,D57,MIN(F57:K57)))</f>
        <v/>
      </c>
      <c r="F57" s="333">
        <f ca="1">IF(TYPE(VLOOKUP(C57,Konečné_pořadí_1_16!$B$2:$D$17,3,0))&lt;4,VLOOKUP(C57,Konečné_pořadí_1_16!$B$2:$D$17,3,0),999)</f>
        <v>999</v>
      </c>
      <c r="G57" s="333">
        <f ca="1">IF(TYPE(VLOOKUP(C57,'KO64'!$D$4:$D$129,1,0))&lt;4,64,999)</f>
        <v>64</v>
      </c>
      <c r="H57" s="333">
        <f ca="1">IF(TYPE(VLOOKUP(C57,'KO32'!$D$4:$D$65,1,0))&lt;4,32,999)</f>
        <v>32</v>
      </c>
      <c r="I57" s="333">
        <f ca="1">IF(TYPE(VLOOKUP(C57,'KO16'!$D$4:$D$33,1,0))&lt;4,16,999)</f>
        <v>999</v>
      </c>
      <c r="J57" s="333">
        <f ca="1">IF(TYPE(VLOOKUP(C57,'KO8'!$D$4:$D$17,1,0))&lt;4,8,999)</f>
        <v>999</v>
      </c>
      <c r="K57" s="333">
        <f ca="1">IF(TYPE(VLOOKUP(C57,'KO4'!$D$4:$D$9,1,0))&lt;4,4,999)</f>
        <v>999</v>
      </c>
      <c r="M57" s="334">
        <v>55</v>
      </c>
      <c r="O57" s="333">
        <f t="shared" ca="1" si="8"/>
        <v>0</v>
      </c>
      <c r="P57" s="333">
        <f t="shared" ca="1" si="9"/>
        <v>0</v>
      </c>
      <c r="Q57" s="333">
        <f t="shared" ca="1" si="26"/>
        <v>2</v>
      </c>
      <c r="R57" s="333">
        <f t="shared" ca="1" si="27"/>
        <v>0</v>
      </c>
      <c r="S57" s="333">
        <f t="shared" ca="1" si="10"/>
        <v>16</v>
      </c>
      <c r="T57" s="333">
        <f t="shared" ca="1" si="11"/>
        <v>0</v>
      </c>
      <c r="U57" s="415">
        <f t="shared" si="25"/>
        <v>55</v>
      </c>
      <c r="V57" s="415" t="s">
        <v>2005</v>
      </c>
      <c r="W57" s="441" t="str">
        <f ca="1">IF($V57="","",CONCATENATE(TEXT($O57,"0"),IF(Start.listina!$Y$5="","",TEXT(500+$P57,"0000")),IF(Start.listina!$Y$6="","",CHOOSE(Start.listina!$Y$7,TEXT($Q57,"00"),CONCATENATE(TEXT($Q57,"00"),TEXT($S57,"000")), TEXT($R57,"00"))),TEXT(500+$P57,"0000"),IF(Start.listina!$Y$8="","",TEXT($T57,"0")),TEXT(999999*RAND(),"000000")))</f>
        <v/>
      </c>
      <c r="X57" s="417">
        <f t="shared" si="12"/>
        <v>55</v>
      </c>
      <c r="Y57" s="415">
        <f t="shared" ca="1" si="28"/>
        <v>0</v>
      </c>
      <c r="Z57" s="333">
        <f t="shared" ca="1" si="13"/>
        <v>51</v>
      </c>
      <c r="AA57" s="333" t="str">
        <f t="shared" ca="1" si="14"/>
        <v/>
      </c>
      <c r="AB57" s="333" t="str">
        <f t="shared" ca="1" si="15"/>
        <v/>
      </c>
      <c r="AC57" s="333" t="str">
        <f t="shared" ca="1" si="16"/>
        <v/>
      </c>
      <c r="AD57" s="333" t="str">
        <f t="shared" ca="1" si="17"/>
        <v/>
      </c>
      <c r="AE57" s="333" t="str">
        <f t="shared" ca="1" si="18"/>
        <v/>
      </c>
      <c r="AG57" s="333">
        <f ca="1">IF(TYPE(VLOOKUP($A57,'1.kolo'!$L$3:$L$66,1,0))&gt;3,VLOOKUP($A57,'1.kolo'!$K$3:$L$66,2,0),VLOOKUP($A57,'1.kolo'!$L$3:$O$66,4,0))</f>
        <v>51</v>
      </c>
      <c r="AH57" s="333">
        <f ca="1">IF(TYPE(VLOOKUP($A57,'1.kolo'!$L$3:$L$66,1,0))&gt;3,VLOOKUP($A57,'1.kolo'!$O$3:$Q$66,2,0),VLOOKUP($A57,'1.kolo'!$L$3:$N$66,2,0))</f>
        <v>0</v>
      </c>
      <c r="AI57" s="333">
        <f ca="1">IF(TYPE(VLOOKUP($A57,'1.kolo'!$L$3:$L$66,1,0))&gt;3,VLOOKUP($A57,'1.kolo'!$O$3:$Q$66,3,0),VLOOKUP($A57,'1.kolo'!$L$3:$N$66,3,0))</f>
        <v>0</v>
      </c>
      <c r="AJ57" s="333">
        <f t="shared" ca="1" si="19"/>
        <v>0</v>
      </c>
      <c r="AK57" s="333">
        <v>55</v>
      </c>
      <c r="AL57" s="442"/>
      <c r="AP57" s="333" t="str">
        <f ca="1">IF(TYPE(VLOOKUP($A57,'2.kolo'!$L$3:$L$66,1,0))&gt;3,IF(TYPE(VLOOKUP($A57,'2.kolo'!$K$3:$L$66,2,0))&gt;3,0,VLOOKUP($A57,'2.kolo'!$K$3:$L$66,2,0)),VLOOKUP($A57,'2.kolo'!$L$3:$O$66,4,0))</f>
        <v/>
      </c>
      <c r="AQ57" s="333">
        <f ca="1">IF(TYPE(VLOOKUP($A57,'2.kolo'!$L$3:$L$66,1,0))&gt;3,IF(TYPE(VLOOKUP($A57,'2.kolo'!$O$3:$Q$66,2,0))&gt;3,0,VLOOKUP($A57,'2.kolo'!$O$3:$Q$66,2,0)),VLOOKUP($A57,'2.kolo'!$L$3:$N$66,2,0))</f>
        <v>0</v>
      </c>
      <c r="AR57" s="333">
        <f ca="1">IF(TYPE(VLOOKUP($A57,'2.kolo'!$L$3:$L$66,1,0))&gt;3,IF(TYPE(VLOOKUP($A57,'2.kolo'!$O$3:$Q$66,3,0))&gt;3,0,VLOOKUP($A57,'2.kolo'!$O$3:$Q$66,3,0)),VLOOKUP($A57,'2.kolo'!$L$3:$N$66,3,0))</f>
        <v>0</v>
      </c>
      <c r="AS57" s="333">
        <f t="shared" ca="1" si="20"/>
        <v>0</v>
      </c>
      <c r="AT57" s="415" t="s">
        <v>2005</v>
      </c>
      <c r="AU57" s="442" t="str">
        <f ca="1">IF(AT57="","",CONCATENATE(TEXT($O57,"0"),IF(Start.listina!$Y$5="","",TEXT(500+$P57,"000")),TEXT(999999*RAND(),"000000")))</f>
        <v/>
      </c>
      <c r="AV57" s="333">
        <f t="shared" ca="1" si="29"/>
        <v>0</v>
      </c>
      <c r="AY57" s="333" t="str">
        <f ca="1">IF(TYPE(VLOOKUP($A57,'3.kolo'!$L$3:$L$66,1,0))&gt;3,IF(TYPE(VLOOKUP($A57,'3.kolo'!$K$3:$L$66,2,0))&gt;3,0,VLOOKUP($A57,'3.kolo'!$K$3:$L$66,2,0)),VLOOKUP($A57,'3.kolo'!$L$3:$O$66,4,0))</f>
        <v/>
      </c>
      <c r="AZ57" s="333">
        <f ca="1">IF(TYPE(VLOOKUP($A57,'3.kolo'!$L$3:$L$66,1,0))&gt;3,IF(TYPE(VLOOKUP($A57,'3.kolo'!$O$3:$Q$66,2,0))&gt;3,0,VLOOKUP($A57,'3.kolo'!$O$3:$Q$66,2,0)),VLOOKUP($A57,'3.kolo'!$L$3:$N$66,2,0))</f>
        <v>0</v>
      </c>
      <c r="BA57" s="333">
        <f ca="1">IF(TYPE(VLOOKUP($A57,'3.kolo'!$L$3:$L$66,1,0))&gt;3,IF(TYPE(VLOOKUP($A57,'3.kolo'!$O$3:$Q$66,3,0))&gt;3,0,VLOOKUP($A57,'3.kolo'!$O$3:$Q$66,3,0)),VLOOKUP($A57,'3.kolo'!$L$3:$N$66,3,0))</f>
        <v>0</v>
      </c>
      <c r="BB57" s="333">
        <f t="shared" ca="1" si="21"/>
        <v>0</v>
      </c>
      <c r="BC57" s="415" t="s">
        <v>2005</v>
      </c>
      <c r="BD57" s="442" t="str">
        <f ca="1">IF(BC57="","",CONCATENATE(TEXT($O57,"0"),IF(Start.listina!$Y$5="","",TEXT(500+$P57,"000")),TEXT(999999*RAND(),"000000")))</f>
        <v/>
      </c>
      <c r="BE57" s="333">
        <f t="shared" ca="1" si="30"/>
        <v>0</v>
      </c>
      <c r="BH57" s="333" t="str">
        <f ca="1">IF(TYPE(VLOOKUP($A57,'4.kolo'!$L$3:$L$66,1,0))&gt;3,IF(TYPE(VLOOKUP($A57,'4.kolo'!$K$3:$L$66,2,0))&gt;3,0,VLOOKUP($A57,'4.kolo'!$K$3:$L$66,2,0)),VLOOKUP($A57,'4.kolo'!$L$3:$O$66,4,0))</f>
        <v/>
      </c>
      <c r="BI57" s="333">
        <f ca="1">IF(TYPE(VLOOKUP($A57,'4.kolo'!$L$3:$L$66,1,0))&gt;3,IF(TYPE(VLOOKUP($A57,'4.kolo'!$O$3:$Q$66,2,0))&gt;3,0,VLOOKUP($A57,'4.kolo'!$O$3:$Q$66,2,0)),VLOOKUP($A57,'4.kolo'!$L$3:$N$66,2,0))</f>
        <v>0</v>
      </c>
      <c r="BJ57" s="333">
        <f ca="1">IF(TYPE(VLOOKUP($A57,'4.kolo'!$L$3:$L$66,1,0))&gt;3,IF(TYPE(VLOOKUP($A57,'4.kolo'!$O$3:$Q$66,3,0))&gt;3,0,VLOOKUP($A57,'4.kolo'!$O$3:$Q$66,3,0)),VLOOKUP($A57,'4.kolo'!$L$3:$N$66,3,0))</f>
        <v>0</v>
      </c>
      <c r="BK57" s="333">
        <f t="shared" ca="1" si="22"/>
        <v>0</v>
      </c>
      <c r="BL57" s="415" t="s">
        <v>2005</v>
      </c>
      <c r="BM57" s="442" t="str">
        <f ca="1">IF(BL57="","",CONCATENATE(TEXT($O57,"0"),IF(Start.listina!$Y$5="","",TEXT(500+$P57,"000")),TEXT(999999*RAND(),"000000")))</f>
        <v/>
      </c>
      <c r="BN57" s="333">
        <f t="shared" ca="1" si="31"/>
        <v>0</v>
      </c>
      <c r="BQ57" s="333" t="str">
        <f ca="1">IF(TYPE(VLOOKUP($A57,'5.kolo'!$L$3:$L$66,1,0))&gt;3,IF(TYPE(VLOOKUP($A57,'5.kolo'!$K$3:$L$66,2,0))&gt;3,0,VLOOKUP($A57,'5.kolo'!$K$3:$L$66,2,0)),VLOOKUP($A57,'5.kolo'!$L$3:$O$66,4,0))</f>
        <v/>
      </c>
      <c r="BR57" s="333">
        <f ca="1">IF(TYPE(VLOOKUP($A57,'5.kolo'!$L$3:$L$66,1,0))&gt;3,IF(TYPE(VLOOKUP($A57,'5.kolo'!$O$3:$Q$66,2,0))&gt;3,0,VLOOKUP($A57,'5.kolo'!$O$3:$Q$66,2,0)),VLOOKUP($A57,'5.kolo'!$L$3:$N$66,2,0))</f>
        <v>0</v>
      </c>
      <c r="BS57" s="333">
        <f ca="1">IF(TYPE(VLOOKUP($A57,'5.kolo'!$L$3:$L$66,1,0))&gt;3,IF(TYPE(VLOOKUP($A57,'5.kolo'!$O$3:$Q$66,3,0))&gt;3,0,VLOOKUP($A57,'5.kolo'!$O$3:$Q$66,3,0)),VLOOKUP($A57,'5.kolo'!$L$3:$N$66,3,0))</f>
        <v>0</v>
      </c>
      <c r="BT57" s="333">
        <f t="shared" ca="1" si="23"/>
        <v>0</v>
      </c>
      <c r="BU57" s="415"/>
      <c r="BV57" s="442" t="str">
        <f ca="1">IF(BU57="","",CONCATENATE(TEXT($O57,"0"),IF(Start.listina!$Y$5="","",TEXT(500+$P57,"000")),TEXT(999999*RAND(),"000000")))</f>
        <v/>
      </c>
      <c r="BW57" s="333">
        <f t="shared" ca="1" si="32"/>
        <v>0</v>
      </c>
      <c r="BZ57" s="333" t="str">
        <f ca="1">IF(TYPE(VLOOKUP($A57,'6.kolo'!$L$3:$L$66,1,0))&gt;3,IF(TYPE(VLOOKUP($A57,'6.kolo'!$K$3:$L$66,2,0))&gt;3,0,VLOOKUP($A57,'6.kolo'!$K$3:$L$66,2,0)),VLOOKUP($A57,'6.kolo'!$L$3:$O$66,4,0))</f>
        <v/>
      </c>
      <c r="CA57" s="333">
        <f ca="1">IF(TYPE(VLOOKUP($A57,'6.kolo'!$L$3:$L$66,1,0))&gt;3,IF(TYPE(VLOOKUP($A57,'6.kolo'!$O$3:$Q$66,2,0))&gt;3,0,VLOOKUP($A57,'6.kolo'!$O$3:$Q$66,2,0)),VLOOKUP($A57,'6.kolo'!$L$3:$N$66,2,0))</f>
        <v>0</v>
      </c>
      <c r="CB57" s="333">
        <f ca="1">IF(TYPE(VLOOKUP($A57,'6.kolo'!$L$3:$L$66,1,0))&gt;3,IF(TYPE(VLOOKUP($A57,'6.kolo'!$O$3:$Q$66,3,0))&gt;3,0,VLOOKUP($A57,'6.kolo'!$O$3:$Q$66,3,0)),VLOOKUP($A57,'6.kolo'!$L$3:$N$66,3,0))</f>
        <v>0</v>
      </c>
      <c r="CC57" s="333">
        <f t="shared" ca="1" si="24"/>
        <v>0</v>
      </c>
      <c r="CD57" s="415"/>
      <c r="CE57" s="442" t="str">
        <f ca="1">IF(CD57="","",CONCATENATE(TEXT($O57,"0"),IF(Start.listina!$Y$5="","",TEXT(500+$P57,"000")),TEXT(999999*RAND(),"000000")))</f>
        <v/>
      </c>
      <c r="CF57" s="333">
        <f t="shared" ca="1" si="33"/>
        <v>0</v>
      </c>
    </row>
    <row r="58" spans="1:84" x14ac:dyDescent="0.25">
      <c r="A58" s="333" t="str">
        <f>IF(OR(Start.listina!H66&gt;Start.listina!$K$7,Start.listina!G66=TRUE),"",Start.listina!H66)</f>
        <v/>
      </c>
      <c r="B58" s="333" t="str">
        <f>IF($A58&gt;Start.listina!$K$7,"",INT(($A58-1)/Start.listina!$O$7)+1)</f>
        <v/>
      </c>
      <c r="C58" s="439" t="str">
        <f>IF(OR(Start.listina!H66&gt;Start.listina!$K$7,Start.listina!G66=TRUE)," - ",Start.listina!AL66)</f>
        <v xml:space="preserve"> - </v>
      </c>
      <c r="D58" s="333" t="str">
        <f>IF(OR(A58&gt;Start.listina!$K$7,TYPE(VLOOKUP(A58,$V$3:$X$130,3,0))&gt;3),"",VLOOKUP(A58,$V$3:$X$130,3,0))</f>
        <v/>
      </c>
      <c r="E58" s="440" t="str">
        <f>IF(A58&gt;Start.listina!$K$7,"",IF(MIN(F58:K58)&gt;Start.listina!$Y$4,D58,MIN(F58:K58)))</f>
        <v/>
      </c>
      <c r="F58" s="333">
        <f ca="1">IF(TYPE(VLOOKUP(C58,Konečné_pořadí_1_16!$B$2:$D$17,3,0))&lt;4,VLOOKUP(C58,Konečné_pořadí_1_16!$B$2:$D$17,3,0),999)</f>
        <v>999</v>
      </c>
      <c r="G58" s="333">
        <f ca="1">IF(TYPE(VLOOKUP(C58,'KO64'!$D$4:$D$129,1,0))&lt;4,64,999)</f>
        <v>64</v>
      </c>
      <c r="H58" s="333">
        <f ca="1">IF(TYPE(VLOOKUP(C58,'KO32'!$D$4:$D$65,1,0))&lt;4,32,999)</f>
        <v>32</v>
      </c>
      <c r="I58" s="333">
        <f ca="1">IF(TYPE(VLOOKUP(C58,'KO16'!$D$4:$D$33,1,0))&lt;4,16,999)</f>
        <v>999</v>
      </c>
      <c r="J58" s="333">
        <f ca="1">IF(TYPE(VLOOKUP(C58,'KO8'!$D$4:$D$17,1,0))&lt;4,8,999)</f>
        <v>999</v>
      </c>
      <c r="K58" s="333">
        <f ca="1">IF(TYPE(VLOOKUP(C58,'KO4'!$D$4:$D$9,1,0))&lt;4,4,999)</f>
        <v>999</v>
      </c>
      <c r="M58" s="334">
        <v>56</v>
      </c>
      <c r="O58" s="333">
        <f t="shared" ca="1" si="8"/>
        <v>0</v>
      </c>
      <c r="P58" s="333">
        <f t="shared" ca="1" si="9"/>
        <v>0</v>
      </c>
      <c r="Q58" s="333">
        <f t="shared" ca="1" si="26"/>
        <v>2</v>
      </c>
      <c r="R58" s="333">
        <f t="shared" ca="1" si="27"/>
        <v>0</v>
      </c>
      <c r="S58" s="333">
        <f t="shared" ca="1" si="10"/>
        <v>16</v>
      </c>
      <c r="T58" s="333">
        <f t="shared" ca="1" si="11"/>
        <v>0</v>
      </c>
      <c r="U58" s="415">
        <f t="shared" si="25"/>
        <v>56</v>
      </c>
      <c r="V58" s="415" t="s">
        <v>2005</v>
      </c>
      <c r="W58" s="441" t="str">
        <f ca="1">IF($V58="","",CONCATENATE(TEXT($O58,"0"),IF(Start.listina!$Y$5="","",TEXT(500+$P58,"0000")),IF(Start.listina!$Y$6="","",CHOOSE(Start.listina!$Y$7,TEXT($Q58,"00"),CONCATENATE(TEXT($Q58,"00"),TEXT($S58,"000")), TEXT($R58,"00"))),TEXT(500+$P58,"0000"),IF(Start.listina!$Y$8="","",TEXT($T58,"0")),TEXT(999999*RAND(),"000000")))</f>
        <v/>
      </c>
      <c r="X58" s="417">
        <f t="shared" si="12"/>
        <v>56</v>
      </c>
      <c r="Y58" s="415">
        <f t="shared" ca="1" si="28"/>
        <v>0</v>
      </c>
      <c r="Z58" s="333">
        <f t="shared" ca="1" si="13"/>
        <v>51</v>
      </c>
      <c r="AA58" s="333" t="str">
        <f t="shared" ca="1" si="14"/>
        <v/>
      </c>
      <c r="AB58" s="333" t="str">
        <f t="shared" ca="1" si="15"/>
        <v/>
      </c>
      <c r="AC58" s="333" t="str">
        <f t="shared" ca="1" si="16"/>
        <v/>
      </c>
      <c r="AD58" s="333" t="str">
        <f t="shared" ca="1" si="17"/>
        <v/>
      </c>
      <c r="AE58" s="333" t="str">
        <f t="shared" ca="1" si="18"/>
        <v/>
      </c>
      <c r="AG58" s="333">
        <f ca="1">IF(TYPE(VLOOKUP($A58,'1.kolo'!$L$3:$L$66,1,0))&gt;3,VLOOKUP($A58,'1.kolo'!$K$3:$L$66,2,0),VLOOKUP($A58,'1.kolo'!$L$3:$O$66,4,0))</f>
        <v>51</v>
      </c>
      <c r="AH58" s="333">
        <f ca="1">IF(TYPE(VLOOKUP($A58,'1.kolo'!$L$3:$L$66,1,0))&gt;3,VLOOKUP($A58,'1.kolo'!$O$3:$Q$66,2,0),VLOOKUP($A58,'1.kolo'!$L$3:$N$66,2,0))</f>
        <v>0</v>
      </c>
      <c r="AI58" s="333">
        <f ca="1">IF(TYPE(VLOOKUP($A58,'1.kolo'!$L$3:$L$66,1,0))&gt;3,VLOOKUP($A58,'1.kolo'!$O$3:$Q$66,3,0),VLOOKUP($A58,'1.kolo'!$L$3:$N$66,3,0))</f>
        <v>0</v>
      </c>
      <c r="AJ58" s="333">
        <f t="shared" ca="1" si="19"/>
        <v>0</v>
      </c>
      <c r="AK58" s="333">
        <v>56</v>
      </c>
      <c r="AL58" s="442"/>
      <c r="AP58" s="333" t="str">
        <f ca="1">IF(TYPE(VLOOKUP($A58,'2.kolo'!$L$3:$L$66,1,0))&gt;3,IF(TYPE(VLOOKUP($A58,'2.kolo'!$K$3:$L$66,2,0))&gt;3,0,VLOOKUP($A58,'2.kolo'!$K$3:$L$66,2,0)),VLOOKUP($A58,'2.kolo'!$L$3:$O$66,4,0))</f>
        <v/>
      </c>
      <c r="AQ58" s="333">
        <f ca="1">IF(TYPE(VLOOKUP($A58,'2.kolo'!$L$3:$L$66,1,0))&gt;3,IF(TYPE(VLOOKUP($A58,'2.kolo'!$O$3:$Q$66,2,0))&gt;3,0,VLOOKUP($A58,'2.kolo'!$O$3:$Q$66,2,0)),VLOOKUP($A58,'2.kolo'!$L$3:$N$66,2,0))</f>
        <v>0</v>
      </c>
      <c r="AR58" s="333">
        <f ca="1">IF(TYPE(VLOOKUP($A58,'2.kolo'!$L$3:$L$66,1,0))&gt;3,IF(TYPE(VLOOKUP($A58,'2.kolo'!$O$3:$Q$66,3,0))&gt;3,0,VLOOKUP($A58,'2.kolo'!$O$3:$Q$66,3,0)),VLOOKUP($A58,'2.kolo'!$L$3:$N$66,3,0))</f>
        <v>0</v>
      </c>
      <c r="AS58" s="333">
        <f t="shared" ca="1" si="20"/>
        <v>0</v>
      </c>
      <c r="AT58" s="415" t="s">
        <v>2005</v>
      </c>
      <c r="AU58" s="442" t="str">
        <f ca="1">IF(AT58="","",CONCATENATE(TEXT($O58,"0"),IF(Start.listina!$Y$5="","",TEXT(500+$P58,"000")),TEXT(999999*RAND(),"000000")))</f>
        <v/>
      </c>
      <c r="AV58" s="333">
        <f t="shared" ca="1" si="29"/>
        <v>0</v>
      </c>
      <c r="AY58" s="333" t="str">
        <f ca="1">IF(TYPE(VLOOKUP($A58,'3.kolo'!$L$3:$L$66,1,0))&gt;3,IF(TYPE(VLOOKUP($A58,'3.kolo'!$K$3:$L$66,2,0))&gt;3,0,VLOOKUP($A58,'3.kolo'!$K$3:$L$66,2,0)),VLOOKUP($A58,'3.kolo'!$L$3:$O$66,4,0))</f>
        <v/>
      </c>
      <c r="AZ58" s="333">
        <f ca="1">IF(TYPE(VLOOKUP($A58,'3.kolo'!$L$3:$L$66,1,0))&gt;3,IF(TYPE(VLOOKUP($A58,'3.kolo'!$O$3:$Q$66,2,0))&gt;3,0,VLOOKUP($A58,'3.kolo'!$O$3:$Q$66,2,0)),VLOOKUP($A58,'3.kolo'!$L$3:$N$66,2,0))</f>
        <v>0</v>
      </c>
      <c r="BA58" s="333">
        <f ca="1">IF(TYPE(VLOOKUP($A58,'3.kolo'!$L$3:$L$66,1,0))&gt;3,IF(TYPE(VLOOKUP($A58,'3.kolo'!$O$3:$Q$66,3,0))&gt;3,0,VLOOKUP($A58,'3.kolo'!$O$3:$Q$66,3,0)),VLOOKUP($A58,'3.kolo'!$L$3:$N$66,3,0))</f>
        <v>0</v>
      </c>
      <c r="BB58" s="333">
        <f t="shared" ca="1" si="21"/>
        <v>0</v>
      </c>
      <c r="BC58" s="415" t="s">
        <v>2005</v>
      </c>
      <c r="BD58" s="442" t="str">
        <f ca="1">IF(BC58="","",CONCATENATE(TEXT($O58,"0"),IF(Start.listina!$Y$5="","",TEXT(500+$P58,"000")),TEXT(999999*RAND(),"000000")))</f>
        <v/>
      </c>
      <c r="BE58" s="333">
        <f t="shared" ca="1" si="30"/>
        <v>0</v>
      </c>
      <c r="BH58" s="333" t="str">
        <f ca="1">IF(TYPE(VLOOKUP($A58,'4.kolo'!$L$3:$L$66,1,0))&gt;3,IF(TYPE(VLOOKUP($A58,'4.kolo'!$K$3:$L$66,2,0))&gt;3,0,VLOOKUP($A58,'4.kolo'!$K$3:$L$66,2,0)),VLOOKUP($A58,'4.kolo'!$L$3:$O$66,4,0))</f>
        <v/>
      </c>
      <c r="BI58" s="333">
        <f ca="1">IF(TYPE(VLOOKUP($A58,'4.kolo'!$L$3:$L$66,1,0))&gt;3,IF(TYPE(VLOOKUP($A58,'4.kolo'!$O$3:$Q$66,2,0))&gt;3,0,VLOOKUP($A58,'4.kolo'!$O$3:$Q$66,2,0)),VLOOKUP($A58,'4.kolo'!$L$3:$N$66,2,0))</f>
        <v>0</v>
      </c>
      <c r="BJ58" s="333">
        <f ca="1">IF(TYPE(VLOOKUP($A58,'4.kolo'!$L$3:$L$66,1,0))&gt;3,IF(TYPE(VLOOKUP($A58,'4.kolo'!$O$3:$Q$66,3,0))&gt;3,0,VLOOKUP($A58,'4.kolo'!$O$3:$Q$66,3,0)),VLOOKUP($A58,'4.kolo'!$L$3:$N$66,3,0))</f>
        <v>0</v>
      </c>
      <c r="BK58" s="333">
        <f t="shared" ca="1" si="22"/>
        <v>0</v>
      </c>
      <c r="BL58" s="415" t="s">
        <v>2005</v>
      </c>
      <c r="BM58" s="442" t="str">
        <f ca="1">IF(BL58="","",CONCATENATE(TEXT($O58,"0"),IF(Start.listina!$Y$5="","",TEXT(500+$P58,"000")),TEXT(999999*RAND(),"000000")))</f>
        <v/>
      </c>
      <c r="BN58" s="333">
        <f t="shared" ca="1" si="31"/>
        <v>0</v>
      </c>
      <c r="BQ58" s="333" t="str">
        <f ca="1">IF(TYPE(VLOOKUP($A58,'5.kolo'!$L$3:$L$66,1,0))&gt;3,IF(TYPE(VLOOKUP($A58,'5.kolo'!$K$3:$L$66,2,0))&gt;3,0,VLOOKUP($A58,'5.kolo'!$K$3:$L$66,2,0)),VLOOKUP($A58,'5.kolo'!$L$3:$O$66,4,0))</f>
        <v/>
      </c>
      <c r="BR58" s="333">
        <f ca="1">IF(TYPE(VLOOKUP($A58,'5.kolo'!$L$3:$L$66,1,0))&gt;3,IF(TYPE(VLOOKUP($A58,'5.kolo'!$O$3:$Q$66,2,0))&gt;3,0,VLOOKUP($A58,'5.kolo'!$O$3:$Q$66,2,0)),VLOOKUP($A58,'5.kolo'!$L$3:$N$66,2,0))</f>
        <v>0</v>
      </c>
      <c r="BS58" s="333">
        <f ca="1">IF(TYPE(VLOOKUP($A58,'5.kolo'!$L$3:$L$66,1,0))&gt;3,IF(TYPE(VLOOKUP($A58,'5.kolo'!$O$3:$Q$66,3,0))&gt;3,0,VLOOKUP($A58,'5.kolo'!$O$3:$Q$66,3,0)),VLOOKUP($A58,'5.kolo'!$L$3:$N$66,3,0))</f>
        <v>0</v>
      </c>
      <c r="BT58" s="333">
        <f t="shared" ca="1" si="23"/>
        <v>0</v>
      </c>
      <c r="BU58" s="415"/>
      <c r="BV58" s="442" t="str">
        <f ca="1">IF(BU58="","",CONCATENATE(TEXT($O58,"0"),IF(Start.listina!$Y$5="","",TEXT(500+$P58,"000")),TEXT(999999*RAND(),"000000")))</f>
        <v/>
      </c>
      <c r="BW58" s="333">
        <f t="shared" ca="1" si="32"/>
        <v>0</v>
      </c>
      <c r="BZ58" s="333" t="str">
        <f ca="1">IF(TYPE(VLOOKUP($A58,'6.kolo'!$L$3:$L$66,1,0))&gt;3,IF(TYPE(VLOOKUP($A58,'6.kolo'!$K$3:$L$66,2,0))&gt;3,0,VLOOKUP($A58,'6.kolo'!$K$3:$L$66,2,0)),VLOOKUP($A58,'6.kolo'!$L$3:$O$66,4,0))</f>
        <v/>
      </c>
      <c r="CA58" s="333">
        <f ca="1">IF(TYPE(VLOOKUP($A58,'6.kolo'!$L$3:$L$66,1,0))&gt;3,IF(TYPE(VLOOKUP($A58,'6.kolo'!$O$3:$Q$66,2,0))&gt;3,0,VLOOKUP($A58,'6.kolo'!$O$3:$Q$66,2,0)),VLOOKUP($A58,'6.kolo'!$L$3:$N$66,2,0))</f>
        <v>0</v>
      </c>
      <c r="CB58" s="333">
        <f ca="1">IF(TYPE(VLOOKUP($A58,'6.kolo'!$L$3:$L$66,1,0))&gt;3,IF(TYPE(VLOOKUP($A58,'6.kolo'!$O$3:$Q$66,3,0))&gt;3,0,VLOOKUP($A58,'6.kolo'!$O$3:$Q$66,3,0)),VLOOKUP($A58,'6.kolo'!$L$3:$N$66,3,0))</f>
        <v>0</v>
      </c>
      <c r="CC58" s="333">
        <f t="shared" ca="1" si="24"/>
        <v>0</v>
      </c>
      <c r="CD58" s="415"/>
      <c r="CE58" s="442" t="str">
        <f ca="1">IF(CD58="","",CONCATENATE(TEXT($O58,"0"),IF(Start.listina!$Y$5="","",TEXT(500+$P58,"000")),TEXT(999999*RAND(),"000000")))</f>
        <v/>
      </c>
      <c r="CF58" s="333">
        <f t="shared" ca="1" si="33"/>
        <v>0</v>
      </c>
    </row>
    <row r="59" spans="1:84" x14ac:dyDescent="0.25">
      <c r="A59" s="333" t="str">
        <f>IF(OR(Start.listina!H67&gt;Start.listina!$K$7,Start.listina!G67=TRUE),"",Start.listina!H67)</f>
        <v/>
      </c>
      <c r="B59" s="333" t="str">
        <f>IF($A59&gt;Start.listina!$K$7,"",INT(($A59-1)/Start.listina!$O$7)+1)</f>
        <v/>
      </c>
      <c r="C59" s="439" t="str">
        <f>IF(OR(Start.listina!H67&gt;Start.listina!$K$7,Start.listina!G67=TRUE)," - ",Start.listina!AL67)</f>
        <v xml:space="preserve"> - </v>
      </c>
      <c r="D59" s="333" t="str">
        <f>IF(OR(A59&gt;Start.listina!$K$7,TYPE(VLOOKUP(A59,$V$3:$X$130,3,0))&gt;3),"",VLOOKUP(A59,$V$3:$X$130,3,0))</f>
        <v/>
      </c>
      <c r="E59" s="440" t="str">
        <f>IF(A59&gt;Start.listina!$K$7,"",IF(MIN(F59:K59)&gt;Start.listina!$Y$4,D59,MIN(F59:K59)))</f>
        <v/>
      </c>
      <c r="F59" s="333">
        <f ca="1">IF(TYPE(VLOOKUP(C59,Konečné_pořadí_1_16!$B$2:$D$17,3,0))&lt;4,VLOOKUP(C59,Konečné_pořadí_1_16!$B$2:$D$17,3,0),999)</f>
        <v>999</v>
      </c>
      <c r="G59" s="333">
        <f ca="1">IF(TYPE(VLOOKUP(C59,'KO64'!$D$4:$D$129,1,0))&lt;4,64,999)</f>
        <v>64</v>
      </c>
      <c r="H59" s="333">
        <f ca="1">IF(TYPE(VLOOKUP(C59,'KO32'!$D$4:$D$65,1,0))&lt;4,32,999)</f>
        <v>32</v>
      </c>
      <c r="I59" s="333">
        <f ca="1">IF(TYPE(VLOOKUP(C59,'KO16'!$D$4:$D$33,1,0))&lt;4,16,999)</f>
        <v>999</v>
      </c>
      <c r="J59" s="333">
        <f ca="1">IF(TYPE(VLOOKUP(C59,'KO8'!$D$4:$D$17,1,0))&lt;4,8,999)</f>
        <v>999</v>
      </c>
      <c r="K59" s="333">
        <f ca="1">IF(TYPE(VLOOKUP(C59,'KO4'!$D$4:$D$9,1,0))&lt;4,4,999)</f>
        <v>999</v>
      </c>
      <c r="M59" s="334">
        <v>57</v>
      </c>
      <c r="O59" s="333">
        <f t="shared" ca="1" si="8"/>
        <v>0</v>
      </c>
      <c r="P59" s="333">
        <f t="shared" ca="1" si="9"/>
        <v>0</v>
      </c>
      <c r="Q59" s="333">
        <f t="shared" ca="1" si="26"/>
        <v>2</v>
      </c>
      <c r="R59" s="333">
        <f t="shared" ca="1" si="27"/>
        <v>0</v>
      </c>
      <c r="S59" s="333">
        <f t="shared" ca="1" si="10"/>
        <v>16</v>
      </c>
      <c r="T59" s="333">
        <f t="shared" ca="1" si="11"/>
        <v>0</v>
      </c>
      <c r="U59" s="415">
        <f t="shared" si="25"/>
        <v>57</v>
      </c>
      <c r="V59" s="415" t="s">
        <v>2005</v>
      </c>
      <c r="W59" s="441" t="str">
        <f ca="1">IF($V59="","",CONCATENATE(TEXT($O59,"0"),IF(Start.listina!$Y$5="","",TEXT(500+$P59,"0000")),IF(Start.listina!$Y$6="","",CHOOSE(Start.listina!$Y$7,TEXT($Q59,"00"),CONCATENATE(TEXT($Q59,"00"),TEXT($S59,"000")), TEXT($R59,"00"))),TEXT(500+$P59,"0000"),IF(Start.listina!$Y$8="","",TEXT($T59,"0")),TEXT(999999*RAND(),"000000")))</f>
        <v/>
      </c>
      <c r="X59" s="417">
        <f t="shared" si="12"/>
        <v>57</v>
      </c>
      <c r="Y59" s="415">
        <f t="shared" ca="1" si="28"/>
        <v>0</v>
      </c>
      <c r="Z59" s="333">
        <f t="shared" ca="1" si="13"/>
        <v>51</v>
      </c>
      <c r="AA59" s="333" t="str">
        <f t="shared" ca="1" si="14"/>
        <v/>
      </c>
      <c r="AB59" s="333" t="str">
        <f t="shared" ca="1" si="15"/>
        <v/>
      </c>
      <c r="AC59" s="333" t="str">
        <f t="shared" ca="1" si="16"/>
        <v/>
      </c>
      <c r="AD59" s="333" t="str">
        <f t="shared" ca="1" si="17"/>
        <v/>
      </c>
      <c r="AE59" s="333" t="str">
        <f t="shared" ca="1" si="18"/>
        <v/>
      </c>
      <c r="AG59" s="333">
        <f ca="1">IF(TYPE(VLOOKUP($A59,'1.kolo'!$L$3:$L$66,1,0))&gt;3,VLOOKUP($A59,'1.kolo'!$K$3:$L$66,2,0),VLOOKUP($A59,'1.kolo'!$L$3:$O$66,4,0))</f>
        <v>51</v>
      </c>
      <c r="AH59" s="333">
        <f ca="1">IF(TYPE(VLOOKUP($A59,'1.kolo'!$L$3:$L$66,1,0))&gt;3,VLOOKUP($A59,'1.kolo'!$O$3:$Q$66,2,0),VLOOKUP($A59,'1.kolo'!$L$3:$N$66,2,0))</f>
        <v>0</v>
      </c>
      <c r="AI59" s="333">
        <f ca="1">IF(TYPE(VLOOKUP($A59,'1.kolo'!$L$3:$L$66,1,0))&gt;3,VLOOKUP($A59,'1.kolo'!$O$3:$Q$66,3,0),VLOOKUP($A59,'1.kolo'!$L$3:$N$66,3,0))</f>
        <v>0</v>
      </c>
      <c r="AJ59" s="333">
        <f t="shared" ca="1" si="19"/>
        <v>0</v>
      </c>
      <c r="AK59" s="333">
        <v>57</v>
      </c>
      <c r="AL59" s="442"/>
      <c r="AP59" s="333" t="str">
        <f ca="1">IF(TYPE(VLOOKUP($A59,'2.kolo'!$L$3:$L$66,1,0))&gt;3,IF(TYPE(VLOOKUP($A59,'2.kolo'!$K$3:$L$66,2,0))&gt;3,0,VLOOKUP($A59,'2.kolo'!$K$3:$L$66,2,0)),VLOOKUP($A59,'2.kolo'!$L$3:$O$66,4,0))</f>
        <v/>
      </c>
      <c r="AQ59" s="333">
        <f ca="1">IF(TYPE(VLOOKUP($A59,'2.kolo'!$L$3:$L$66,1,0))&gt;3,IF(TYPE(VLOOKUP($A59,'2.kolo'!$O$3:$Q$66,2,0))&gt;3,0,VLOOKUP($A59,'2.kolo'!$O$3:$Q$66,2,0)),VLOOKUP($A59,'2.kolo'!$L$3:$N$66,2,0))</f>
        <v>0</v>
      </c>
      <c r="AR59" s="333">
        <f ca="1">IF(TYPE(VLOOKUP($A59,'2.kolo'!$L$3:$L$66,1,0))&gt;3,IF(TYPE(VLOOKUP($A59,'2.kolo'!$O$3:$Q$66,3,0))&gt;3,0,VLOOKUP($A59,'2.kolo'!$O$3:$Q$66,3,0)),VLOOKUP($A59,'2.kolo'!$L$3:$N$66,3,0))</f>
        <v>0</v>
      </c>
      <c r="AS59" s="333">
        <f t="shared" ca="1" si="20"/>
        <v>0</v>
      </c>
      <c r="AT59" s="415" t="s">
        <v>2005</v>
      </c>
      <c r="AU59" s="442" t="str">
        <f ca="1">IF(AT59="","",CONCATENATE(TEXT($O59,"0"),IF(Start.listina!$Y$5="","",TEXT(500+$P59,"000")),TEXT(999999*RAND(),"000000")))</f>
        <v/>
      </c>
      <c r="AV59" s="333">
        <f t="shared" ca="1" si="29"/>
        <v>0</v>
      </c>
      <c r="AY59" s="333" t="str">
        <f ca="1">IF(TYPE(VLOOKUP($A59,'3.kolo'!$L$3:$L$66,1,0))&gt;3,IF(TYPE(VLOOKUP($A59,'3.kolo'!$K$3:$L$66,2,0))&gt;3,0,VLOOKUP($A59,'3.kolo'!$K$3:$L$66,2,0)),VLOOKUP($A59,'3.kolo'!$L$3:$O$66,4,0))</f>
        <v/>
      </c>
      <c r="AZ59" s="333">
        <f ca="1">IF(TYPE(VLOOKUP($A59,'3.kolo'!$L$3:$L$66,1,0))&gt;3,IF(TYPE(VLOOKUP($A59,'3.kolo'!$O$3:$Q$66,2,0))&gt;3,0,VLOOKUP($A59,'3.kolo'!$O$3:$Q$66,2,0)),VLOOKUP($A59,'3.kolo'!$L$3:$N$66,2,0))</f>
        <v>0</v>
      </c>
      <c r="BA59" s="333">
        <f ca="1">IF(TYPE(VLOOKUP($A59,'3.kolo'!$L$3:$L$66,1,0))&gt;3,IF(TYPE(VLOOKUP($A59,'3.kolo'!$O$3:$Q$66,3,0))&gt;3,0,VLOOKUP($A59,'3.kolo'!$O$3:$Q$66,3,0)),VLOOKUP($A59,'3.kolo'!$L$3:$N$66,3,0))</f>
        <v>0</v>
      </c>
      <c r="BB59" s="333">
        <f t="shared" ca="1" si="21"/>
        <v>0</v>
      </c>
      <c r="BC59" s="415" t="s">
        <v>2005</v>
      </c>
      <c r="BD59" s="442" t="str">
        <f ca="1">IF(BC59="","",CONCATENATE(TEXT($O59,"0"),IF(Start.listina!$Y$5="","",TEXT(500+$P59,"000")),TEXT(999999*RAND(),"000000")))</f>
        <v/>
      </c>
      <c r="BE59" s="333">
        <f t="shared" ca="1" si="30"/>
        <v>0</v>
      </c>
      <c r="BH59" s="333" t="str">
        <f ca="1">IF(TYPE(VLOOKUP($A59,'4.kolo'!$L$3:$L$66,1,0))&gt;3,IF(TYPE(VLOOKUP($A59,'4.kolo'!$K$3:$L$66,2,0))&gt;3,0,VLOOKUP($A59,'4.kolo'!$K$3:$L$66,2,0)),VLOOKUP($A59,'4.kolo'!$L$3:$O$66,4,0))</f>
        <v/>
      </c>
      <c r="BI59" s="333">
        <f ca="1">IF(TYPE(VLOOKUP($A59,'4.kolo'!$L$3:$L$66,1,0))&gt;3,IF(TYPE(VLOOKUP($A59,'4.kolo'!$O$3:$Q$66,2,0))&gt;3,0,VLOOKUP($A59,'4.kolo'!$O$3:$Q$66,2,0)),VLOOKUP($A59,'4.kolo'!$L$3:$N$66,2,0))</f>
        <v>0</v>
      </c>
      <c r="BJ59" s="333">
        <f ca="1">IF(TYPE(VLOOKUP($A59,'4.kolo'!$L$3:$L$66,1,0))&gt;3,IF(TYPE(VLOOKUP($A59,'4.kolo'!$O$3:$Q$66,3,0))&gt;3,0,VLOOKUP($A59,'4.kolo'!$O$3:$Q$66,3,0)),VLOOKUP($A59,'4.kolo'!$L$3:$N$66,3,0))</f>
        <v>0</v>
      </c>
      <c r="BK59" s="333">
        <f t="shared" ca="1" si="22"/>
        <v>0</v>
      </c>
      <c r="BL59" s="415" t="s">
        <v>2005</v>
      </c>
      <c r="BM59" s="442" t="str">
        <f ca="1">IF(BL59="","",CONCATENATE(TEXT($O59,"0"),IF(Start.listina!$Y$5="","",TEXT(500+$P59,"000")),TEXT(999999*RAND(),"000000")))</f>
        <v/>
      </c>
      <c r="BN59" s="333">
        <f t="shared" ca="1" si="31"/>
        <v>0</v>
      </c>
      <c r="BQ59" s="333" t="str">
        <f ca="1">IF(TYPE(VLOOKUP($A59,'5.kolo'!$L$3:$L$66,1,0))&gt;3,IF(TYPE(VLOOKUP($A59,'5.kolo'!$K$3:$L$66,2,0))&gt;3,0,VLOOKUP($A59,'5.kolo'!$K$3:$L$66,2,0)),VLOOKUP($A59,'5.kolo'!$L$3:$O$66,4,0))</f>
        <v/>
      </c>
      <c r="BR59" s="333">
        <f ca="1">IF(TYPE(VLOOKUP($A59,'5.kolo'!$L$3:$L$66,1,0))&gt;3,IF(TYPE(VLOOKUP($A59,'5.kolo'!$O$3:$Q$66,2,0))&gt;3,0,VLOOKUP($A59,'5.kolo'!$O$3:$Q$66,2,0)),VLOOKUP($A59,'5.kolo'!$L$3:$N$66,2,0))</f>
        <v>0</v>
      </c>
      <c r="BS59" s="333">
        <f ca="1">IF(TYPE(VLOOKUP($A59,'5.kolo'!$L$3:$L$66,1,0))&gt;3,IF(TYPE(VLOOKUP($A59,'5.kolo'!$O$3:$Q$66,3,0))&gt;3,0,VLOOKUP($A59,'5.kolo'!$O$3:$Q$66,3,0)),VLOOKUP($A59,'5.kolo'!$L$3:$N$66,3,0))</f>
        <v>0</v>
      </c>
      <c r="BT59" s="333">
        <f t="shared" ca="1" si="23"/>
        <v>0</v>
      </c>
      <c r="BU59" s="415"/>
      <c r="BV59" s="442" t="str">
        <f ca="1">IF(BU59="","",CONCATENATE(TEXT($O59,"0"),IF(Start.listina!$Y$5="","",TEXT(500+$P59,"000")),TEXT(999999*RAND(),"000000")))</f>
        <v/>
      </c>
      <c r="BW59" s="333">
        <f t="shared" ca="1" si="32"/>
        <v>0</v>
      </c>
      <c r="BZ59" s="333" t="str">
        <f ca="1">IF(TYPE(VLOOKUP($A59,'6.kolo'!$L$3:$L$66,1,0))&gt;3,IF(TYPE(VLOOKUP($A59,'6.kolo'!$K$3:$L$66,2,0))&gt;3,0,VLOOKUP($A59,'6.kolo'!$K$3:$L$66,2,0)),VLOOKUP($A59,'6.kolo'!$L$3:$O$66,4,0))</f>
        <v/>
      </c>
      <c r="CA59" s="333">
        <f ca="1">IF(TYPE(VLOOKUP($A59,'6.kolo'!$L$3:$L$66,1,0))&gt;3,IF(TYPE(VLOOKUP($A59,'6.kolo'!$O$3:$Q$66,2,0))&gt;3,0,VLOOKUP($A59,'6.kolo'!$O$3:$Q$66,2,0)),VLOOKUP($A59,'6.kolo'!$L$3:$N$66,2,0))</f>
        <v>0</v>
      </c>
      <c r="CB59" s="333">
        <f ca="1">IF(TYPE(VLOOKUP($A59,'6.kolo'!$L$3:$L$66,1,0))&gt;3,IF(TYPE(VLOOKUP($A59,'6.kolo'!$O$3:$Q$66,3,0))&gt;3,0,VLOOKUP($A59,'6.kolo'!$O$3:$Q$66,3,0)),VLOOKUP($A59,'6.kolo'!$L$3:$N$66,3,0))</f>
        <v>0</v>
      </c>
      <c r="CC59" s="333">
        <f t="shared" ca="1" si="24"/>
        <v>0</v>
      </c>
      <c r="CD59" s="415"/>
      <c r="CE59" s="442" t="str">
        <f ca="1">IF(CD59="","",CONCATENATE(TEXT($O59,"0"),IF(Start.listina!$Y$5="","",TEXT(500+$P59,"000")),TEXT(999999*RAND(),"000000")))</f>
        <v/>
      </c>
      <c r="CF59" s="333">
        <f t="shared" ca="1" si="33"/>
        <v>0</v>
      </c>
    </row>
    <row r="60" spans="1:84" x14ac:dyDescent="0.25">
      <c r="A60" s="333" t="str">
        <f>IF(OR(Start.listina!H68&gt;Start.listina!$K$7,Start.listina!G68=TRUE),"",Start.listina!H68)</f>
        <v/>
      </c>
      <c r="B60" s="333" t="str">
        <f>IF($A60&gt;Start.listina!$K$7,"",INT(($A60-1)/Start.listina!$O$7)+1)</f>
        <v/>
      </c>
      <c r="C60" s="439" t="str">
        <f>IF(OR(Start.listina!H68&gt;Start.listina!$K$7,Start.listina!G68=TRUE)," - ",Start.listina!AL68)</f>
        <v xml:space="preserve"> - </v>
      </c>
      <c r="D60" s="333" t="str">
        <f>IF(OR(A60&gt;Start.listina!$K$7,TYPE(VLOOKUP(A60,$V$3:$X$130,3,0))&gt;3),"",VLOOKUP(A60,$V$3:$X$130,3,0))</f>
        <v/>
      </c>
      <c r="E60" s="440" t="str">
        <f>IF(A60&gt;Start.listina!$K$7,"",IF(MIN(F60:K60)&gt;Start.listina!$Y$4,D60,MIN(F60:K60)))</f>
        <v/>
      </c>
      <c r="F60" s="333">
        <f ca="1">IF(TYPE(VLOOKUP(C60,Konečné_pořadí_1_16!$B$2:$D$17,3,0))&lt;4,VLOOKUP(C60,Konečné_pořadí_1_16!$B$2:$D$17,3,0),999)</f>
        <v>999</v>
      </c>
      <c r="G60" s="333">
        <f ca="1">IF(TYPE(VLOOKUP(C60,'KO64'!$D$4:$D$129,1,0))&lt;4,64,999)</f>
        <v>64</v>
      </c>
      <c r="H60" s="333">
        <f ca="1">IF(TYPE(VLOOKUP(C60,'KO32'!$D$4:$D$65,1,0))&lt;4,32,999)</f>
        <v>32</v>
      </c>
      <c r="I60" s="333">
        <f ca="1">IF(TYPE(VLOOKUP(C60,'KO16'!$D$4:$D$33,1,0))&lt;4,16,999)</f>
        <v>999</v>
      </c>
      <c r="J60" s="333">
        <f ca="1">IF(TYPE(VLOOKUP(C60,'KO8'!$D$4:$D$17,1,0))&lt;4,8,999)</f>
        <v>999</v>
      </c>
      <c r="K60" s="333">
        <f ca="1">IF(TYPE(VLOOKUP(C60,'KO4'!$D$4:$D$9,1,0))&lt;4,4,999)</f>
        <v>999</v>
      </c>
      <c r="M60" s="334">
        <v>58</v>
      </c>
      <c r="O60" s="333">
        <f t="shared" ca="1" si="8"/>
        <v>0</v>
      </c>
      <c r="P60" s="333">
        <f t="shared" ca="1" si="9"/>
        <v>0</v>
      </c>
      <c r="Q60" s="333">
        <f t="shared" ca="1" si="26"/>
        <v>2</v>
      </c>
      <c r="R60" s="333">
        <f t="shared" ca="1" si="27"/>
        <v>0</v>
      </c>
      <c r="S60" s="333">
        <f t="shared" ca="1" si="10"/>
        <v>16</v>
      </c>
      <c r="T60" s="333">
        <f t="shared" ca="1" si="11"/>
        <v>0</v>
      </c>
      <c r="U60" s="415">
        <f t="shared" si="25"/>
        <v>58</v>
      </c>
      <c r="V60" s="415" t="s">
        <v>2005</v>
      </c>
      <c r="W60" s="441" t="str">
        <f ca="1">IF($V60="","",CONCATENATE(TEXT($O60,"0"),IF(Start.listina!$Y$5="","",TEXT(500+$P60,"0000")),IF(Start.listina!$Y$6="","",CHOOSE(Start.listina!$Y$7,TEXT($Q60,"00"),CONCATENATE(TEXT($Q60,"00"),TEXT($S60,"000")), TEXT($R60,"00"))),TEXT(500+$P60,"0000"),IF(Start.listina!$Y$8="","",TEXT($T60,"0")),TEXT(999999*RAND(),"000000")))</f>
        <v/>
      </c>
      <c r="X60" s="417">
        <f t="shared" si="12"/>
        <v>58</v>
      </c>
      <c r="Y60" s="415">
        <f t="shared" ca="1" si="28"/>
        <v>0</v>
      </c>
      <c r="Z60" s="333">
        <f t="shared" ca="1" si="13"/>
        <v>51</v>
      </c>
      <c r="AA60" s="333" t="str">
        <f t="shared" ca="1" si="14"/>
        <v/>
      </c>
      <c r="AB60" s="333" t="str">
        <f t="shared" ca="1" si="15"/>
        <v/>
      </c>
      <c r="AC60" s="333" t="str">
        <f t="shared" ca="1" si="16"/>
        <v/>
      </c>
      <c r="AD60" s="333" t="str">
        <f t="shared" ca="1" si="17"/>
        <v/>
      </c>
      <c r="AE60" s="333" t="str">
        <f t="shared" ca="1" si="18"/>
        <v/>
      </c>
      <c r="AG60" s="333">
        <f ca="1">IF(TYPE(VLOOKUP($A60,'1.kolo'!$L$3:$L$66,1,0))&gt;3,VLOOKUP($A60,'1.kolo'!$K$3:$L$66,2,0),VLOOKUP($A60,'1.kolo'!$L$3:$O$66,4,0))</f>
        <v>51</v>
      </c>
      <c r="AH60" s="333">
        <f ca="1">IF(TYPE(VLOOKUP($A60,'1.kolo'!$L$3:$L$66,1,0))&gt;3,VLOOKUP($A60,'1.kolo'!$O$3:$Q$66,2,0),VLOOKUP($A60,'1.kolo'!$L$3:$N$66,2,0))</f>
        <v>0</v>
      </c>
      <c r="AI60" s="333">
        <f ca="1">IF(TYPE(VLOOKUP($A60,'1.kolo'!$L$3:$L$66,1,0))&gt;3,VLOOKUP($A60,'1.kolo'!$O$3:$Q$66,3,0),VLOOKUP($A60,'1.kolo'!$L$3:$N$66,3,0))</f>
        <v>0</v>
      </c>
      <c r="AJ60" s="333">
        <f t="shared" ca="1" si="19"/>
        <v>0</v>
      </c>
      <c r="AK60" s="333">
        <v>58</v>
      </c>
      <c r="AL60" s="442"/>
      <c r="AP60" s="333" t="str">
        <f ca="1">IF(TYPE(VLOOKUP($A60,'2.kolo'!$L$3:$L$66,1,0))&gt;3,IF(TYPE(VLOOKUP($A60,'2.kolo'!$K$3:$L$66,2,0))&gt;3,0,VLOOKUP($A60,'2.kolo'!$K$3:$L$66,2,0)),VLOOKUP($A60,'2.kolo'!$L$3:$O$66,4,0))</f>
        <v/>
      </c>
      <c r="AQ60" s="333">
        <f ca="1">IF(TYPE(VLOOKUP($A60,'2.kolo'!$L$3:$L$66,1,0))&gt;3,IF(TYPE(VLOOKUP($A60,'2.kolo'!$O$3:$Q$66,2,0))&gt;3,0,VLOOKUP($A60,'2.kolo'!$O$3:$Q$66,2,0)),VLOOKUP($A60,'2.kolo'!$L$3:$N$66,2,0))</f>
        <v>0</v>
      </c>
      <c r="AR60" s="333">
        <f ca="1">IF(TYPE(VLOOKUP($A60,'2.kolo'!$L$3:$L$66,1,0))&gt;3,IF(TYPE(VLOOKUP($A60,'2.kolo'!$O$3:$Q$66,3,0))&gt;3,0,VLOOKUP($A60,'2.kolo'!$O$3:$Q$66,3,0)),VLOOKUP($A60,'2.kolo'!$L$3:$N$66,3,0))</f>
        <v>0</v>
      </c>
      <c r="AS60" s="333">
        <f t="shared" ca="1" si="20"/>
        <v>0</v>
      </c>
      <c r="AT60" s="415" t="s">
        <v>2005</v>
      </c>
      <c r="AU60" s="442" t="str">
        <f ca="1">IF(AT60="","",CONCATENATE(TEXT($O60,"0"),IF(Start.listina!$Y$5="","",TEXT(500+$P60,"000")),TEXT(999999*RAND(),"000000")))</f>
        <v/>
      </c>
      <c r="AV60" s="333">
        <f t="shared" ca="1" si="29"/>
        <v>0</v>
      </c>
      <c r="AY60" s="333" t="str">
        <f ca="1">IF(TYPE(VLOOKUP($A60,'3.kolo'!$L$3:$L$66,1,0))&gt;3,IF(TYPE(VLOOKUP($A60,'3.kolo'!$K$3:$L$66,2,0))&gt;3,0,VLOOKUP($A60,'3.kolo'!$K$3:$L$66,2,0)),VLOOKUP($A60,'3.kolo'!$L$3:$O$66,4,0))</f>
        <v/>
      </c>
      <c r="AZ60" s="333">
        <f ca="1">IF(TYPE(VLOOKUP($A60,'3.kolo'!$L$3:$L$66,1,0))&gt;3,IF(TYPE(VLOOKUP($A60,'3.kolo'!$O$3:$Q$66,2,0))&gt;3,0,VLOOKUP($A60,'3.kolo'!$O$3:$Q$66,2,0)),VLOOKUP($A60,'3.kolo'!$L$3:$N$66,2,0))</f>
        <v>0</v>
      </c>
      <c r="BA60" s="333">
        <f ca="1">IF(TYPE(VLOOKUP($A60,'3.kolo'!$L$3:$L$66,1,0))&gt;3,IF(TYPE(VLOOKUP($A60,'3.kolo'!$O$3:$Q$66,3,0))&gt;3,0,VLOOKUP($A60,'3.kolo'!$O$3:$Q$66,3,0)),VLOOKUP($A60,'3.kolo'!$L$3:$N$66,3,0))</f>
        <v>0</v>
      </c>
      <c r="BB60" s="333">
        <f t="shared" ca="1" si="21"/>
        <v>0</v>
      </c>
      <c r="BC60" s="415" t="s">
        <v>2005</v>
      </c>
      <c r="BD60" s="442" t="str">
        <f ca="1">IF(BC60="","",CONCATENATE(TEXT($O60,"0"),IF(Start.listina!$Y$5="","",TEXT(500+$P60,"000")),TEXT(999999*RAND(),"000000")))</f>
        <v/>
      </c>
      <c r="BE60" s="333">
        <f t="shared" ca="1" si="30"/>
        <v>0</v>
      </c>
      <c r="BH60" s="333" t="str">
        <f ca="1">IF(TYPE(VLOOKUP($A60,'4.kolo'!$L$3:$L$66,1,0))&gt;3,IF(TYPE(VLOOKUP($A60,'4.kolo'!$K$3:$L$66,2,0))&gt;3,0,VLOOKUP($A60,'4.kolo'!$K$3:$L$66,2,0)),VLOOKUP($A60,'4.kolo'!$L$3:$O$66,4,0))</f>
        <v/>
      </c>
      <c r="BI60" s="333">
        <f ca="1">IF(TYPE(VLOOKUP($A60,'4.kolo'!$L$3:$L$66,1,0))&gt;3,IF(TYPE(VLOOKUP($A60,'4.kolo'!$O$3:$Q$66,2,0))&gt;3,0,VLOOKUP($A60,'4.kolo'!$O$3:$Q$66,2,0)),VLOOKUP($A60,'4.kolo'!$L$3:$N$66,2,0))</f>
        <v>0</v>
      </c>
      <c r="BJ60" s="333">
        <f ca="1">IF(TYPE(VLOOKUP($A60,'4.kolo'!$L$3:$L$66,1,0))&gt;3,IF(TYPE(VLOOKUP($A60,'4.kolo'!$O$3:$Q$66,3,0))&gt;3,0,VLOOKUP($A60,'4.kolo'!$O$3:$Q$66,3,0)),VLOOKUP($A60,'4.kolo'!$L$3:$N$66,3,0))</f>
        <v>0</v>
      </c>
      <c r="BK60" s="333">
        <f t="shared" ca="1" si="22"/>
        <v>0</v>
      </c>
      <c r="BL60" s="415" t="s">
        <v>2005</v>
      </c>
      <c r="BM60" s="442" t="str">
        <f ca="1">IF(BL60="","",CONCATENATE(TEXT($O60,"0"),IF(Start.listina!$Y$5="","",TEXT(500+$P60,"000")),TEXT(999999*RAND(),"000000")))</f>
        <v/>
      </c>
      <c r="BN60" s="333">
        <f t="shared" ca="1" si="31"/>
        <v>0</v>
      </c>
      <c r="BQ60" s="333" t="str">
        <f ca="1">IF(TYPE(VLOOKUP($A60,'5.kolo'!$L$3:$L$66,1,0))&gt;3,IF(TYPE(VLOOKUP($A60,'5.kolo'!$K$3:$L$66,2,0))&gt;3,0,VLOOKUP($A60,'5.kolo'!$K$3:$L$66,2,0)),VLOOKUP($A60,'5.kolo'!$L$3:$O$66,4,0))</f>
        <v/>
      </c>
      <c r="BR60" s="333">
        <f ca="1">IF(TYPE(VLOOKUP($A60,'5.kolo'!$L$3:$L$66,1,0))&gt;3,IF(TYPE(VLOOKUP($A60,'5.kolo'!$O$3:$Q$66,2,0))&gt;3,0,VLOOKUP($A60,'5.kolo'!$O$3:$Q$66,2,0)),VLOOKUP($A60,'5.kolo'!$L$3:$N$66,2,0))</f>
        <v>0</v>
      </c>
      <c r="BS60" s="333">
        <f ca="1">IF(TYPE(VLOOKUP($A60,'5.kolo'!$L$3:$L$66,1,0))&gt;3,IF(TYPE(VLOOKUP($A60,'5.kolo'!$O$3:$Q$66,3,0))&gt;3,0,VLOOKUP($A60,'5.kolo'!$O$3:$Q$66,3,0)),VLOOKUP($A60,'5.kolo'!$L$3:$N$66,3,0))</f>
        <v>0</v>
      </c>
      <c r="BT60" s="333">
        <f t="shared" ca="1" si="23"/>
        <v>0</v>
      </c>
      <c r="BU60" s="415"/>
      <c r="BV60" s="442" t="str">
        <f ca="1">IF(BU60="","",CONCATENATE(TEXT($O60,"0"),IF(Start.listina!$Y$5="","",TEXT(500+$P60,"000")),TEXT(999999*RAND(),"000000")))</f>
        <v/>
      </c>
      <c r="BW60" s="333">
        <f t="shared" ca="1" si="32"/>
        <v>0</v>
      </c>
      <c r="BZ60" s="333" t="str">
        <f ca="1">IF(TYPE(VLOOKUP($A60,'6.kolo'!$L$3:$L$66,1,0))&gt;3,IF(TYPE(VLOOKUP($A60,'6.kolo'!$K$3:$L$66,2,0))&gt;3,0,VLOOKUP($A60,'6.kolo'!$K$3:$L$66,2,0)),VLOOKUP($A60,'6.kolo'!$L$3:$O$66,4,0))</f>
        <v/>
      </c>
      <c r="CA60" s="333">
        <f ca="1">IF(TYPE(VLOOKUP($A60,'6.kolo'!$L$3:$L$66,1,0))&gt;3,IF(TYPE(VLOOKUP($A60,'6.kolo'!$O$3:$Q$66,2,0))&gt;3,0,VLOOKUP($A60,'6.kolo'!$O$3:$Q$66,2,0)),VLOOKUP($A60,'6.kolo'!$L$3:$N$66,2,0))</f>
        <v>0</v>
      </c>
      <c r="CB60" s="333">
        <f ca="1">IF(TYPE(VLOOKUP($A60,'6.kolo'!$L$3:$L$66,1,0))&gt;3,IF(TYPE(VLOOKUP($A60,'6.kolo'!$O$3:$Q$66,3,0))&gt;3,0,VLOOKUP($A60,'6.kolo'!$O$3:$Q$66,3,0)),VLOOKUP($A60,'6.kolo'!$L$3:$N$66,3,0))</f>
        <v>0</v>
      </c>
      <c r="CC60" s="333">
        <f t="shared" ca="1" si="24"/>
        <v>0</v>
      </c>
      <c r="CD60" s="415"/>
      <c r="CE60" s="442" t="str">
        <f ca="1">IF(CD60="","",CONCATENATE(TEXT($O60,"0"),IF(Start.listina!$Y$5="","",TEXT(500+$P60,"000")),TEXT(999999*RAND(),"000000")))</f>
        <v/>
      </c>
      <c r="CF60" s="333">
        <f t="shared" ca="1" si="33"/>
        <v>0</v>
      </c>
    </row>
    <row r="61" spans="1:84" x14ac:dyDescent="0.25">
      <c r="A61" s="333" t="str">
        <f>IF(OR(Start.listina!H69&gt;Start.listina!$K$7,Start.listina!G69=TRUE),"",Start.listina!H69)</f>
        <v/>
      </c>
      <c r="B61" s="333" t="str">
        <f>IF($A61&gt;Start.listina!$K$7,"",INT(($A61-1)/Start.listina!$O$7)+1)</f>
        <v/>
      </c>
      <c r="C61" s="439" t="str">
        <f>IF(OR(Start.listina!H69&gt;Start.listina!$K$7,Start.listina!G69=TRUE)," - ",Start.listina!AL69)</f>
        <v xml:space="preserve"> - </v>
      </c>
      <c r="D61" s="333" t="str">
        <f>IF(OR(A61&gt;Start.listina!$K$7,TYPE(VLOOKUP(A61,$V$3:$X$130,3,0))&gt;3),"",VLOOKUP(A61,$V$3:$X$130,3,0))</f>
        <v/>
      </c>
      <c r="E61" s="440" t="str">
        <f>IF(A61&gt;Start.listina!$K$7,"",IF(MIN(F61:K61)&gt;Start.listina!$Y$4,D61,MIN(F61:K61)))</f>
        <v/>
      </c>
      <c r="F61" s="333">
        <f ca="1">IF(TYPE(VLOOKUP(C61,Konečné_pořadí_1_16!$B$2:$D$17,3,0))&lt;4,VLOOKUP(C61,Konečné_pořadí_1_16!$B$2:$D$17,3,0),999)</f>
        <v>999</v>
      </c>
      <c r="G61" s="333">
        <f ca="1">IF(TYPE(VLOOKUP(C61,'KO64'!$D$4:$D$129,1,0))&lt;4,64,999)</f>
        <v>64</v>
      </c>
      <c r="H61" s="333">
        <f ca="1">IF(TYPE(VLOOKUP(C61,'KO32'!$D$4:$D$65,1,0))&lt;4,32,999)</f>
        <v>32</v>
      </c>
      <c r="I61" s="333">
        <f ca="1">IF(TYPE(VLOOKUP(C61,'KO16'!$D$4:$D$33,1,0))&lt;4,16,999)</f>
        <v>999</v>
      </c>
      <c r="J61" s="333">
        <f ca="1">IF(TYPE(VLOOKUP(C61,'KO8'!$D$4:$D$17,1,0))&lt;4,8,999)</f>
        <v>999</v>
      </c>
      <c r="K61" s="333">
        <f ca="1">IF(TYPE(VLOOKUP(C61,'KO4'!$D$4:$D$9,1,0))&lt;4,4,999)</f>
        <v>999</v>
      </c>
      <c r="M61" s="334">
        <v>59</v>
      </c>
      <c r="O61" s="333">
        <f t="shared" ca="1" si="8"/>
        <v>0</v>
      </c>
      <c r="P61" s="333">
        <f t="shared" ca="1" si="9"/>
        <v>0</v>
      </c>
      <c r="Q61" s="333">
        <f t="shared" ca="1" si="26"/>
        <v>2</v>
      </c>
      <c r="R61" s="333">
        <f t="shared" ca="1" si="27"/>
        <v>0</v>
      </c>
      <c r="S61" s="333">
        <f t="shared" ca="1" si="10"/>
        <v>16</v>
      </c>
      <c r="T61" s="333">
        <f t="shared" ca="1" si="11"/>
        <v>0</v>
      </c>
      <c r="U61" s="415">
        <f t="shared" si="25"/>
        <v>59</v>
      </c>
      <c r="V61" s="415" t="s">
        <v>2005</v>
      </c>
      <c r="W61" s="441" t="str">
        <f ca="1">IF($V61="","",CONCATENATE(TEXT($O61,"0"),IF(Start.listina!$Y$5="","",TEXT(500+$P61,"0000")),IF(Start.listina!$Y$6="","",CHOOSE(Start.listina!$Y$7,TEXT($Q61,"00"),CONCATENATE(TEXT($Q61,"00"),TEXT($S61,"000")), TEXT($R61,"00"))),TEXT(500+$P61,"0000"),IF(Start.listina!$Y$8="","",TEXT($T61,"0")),TEXT(999999*RAND(),"000000")))</f>
        <v/>
      </c>
      <c r="X61" s="417">
        <f t="shared" si="12"/>
        <v>59</v>
      </c>
      <c r="Y61" s="415">
        <f t="shared" ca="1" si="28"/>
        <v>0</v>
      </c>
      <c r="Z61" s="333">
        <f t="shared" ca="1" si="13"/>
        <v>51</v>
      </c>
      <c r="AA61" s="333" t="str">
        <f t="shared" ca="1" si="14"/>
        <v/>
      </c>
      <c r="AB61" s="333" t="str">
        <f t="shared" ca="1" si="15"/>
        <v/>
      </c>
      <c r="AC61" s="333" t="str">
        <f t="shared" ca="1" si="16"/>
        <v/>
      </c>
      <c r="AD61" s="333" t="str">
        <f t="shared" ca="1" si="17"/>
        <v/>
      </c>
      <c r="AE61" s="333" t="str">
        <f t="shared" ca="1" si="18"/>
        <v/>
      </c>
      <c r="AG61" s="333">
        <f ca="1">IF(TYPE(VLOOKUP($A61,'1.kolo'!$L$3:$L$66,1,0))&gt;3,VLOOKUP($A61,'1.kolo'!$K$3:$L$66,2,0),VLOOKUP($A61,'1.kolo'!$L$3:$O$66,4,0))</f>
        <v>51</v>
      </c>
      <c r="AH61" s="333">
        <f ca="1">IF(TYPE(VLOOKUP($A61,'1.kolo'!$L$3:$L$66,1,0))&gt;3,VLOOKUP($A61,'1.kolo'!$O$3:$Q$66,2,0),VLOOKUP($A61,'1.kolo'!$L$3:$N$66,2,0))</f>
        <v>0</v>
      </c>
      <c r="AI61" s="333">
        <f ca="1">IF(TYPE(VLOOKUP($A61,'1.kolo'!$L$3:$L$66,1,0))&gt;3,VLOOKUP($A61,'1.kolo'!$O$3:$Q$66,3,0),VLOOKUP($A61,'1.kolo'!$L$3:$N$66,3,0))</f>
        <v>0</v>
      </c>
      <c r="AJ61" s="333">
        <f t="shared" ca="1" si="19"/>
        <v>0</v>
      </c>
      <c r="AK61" s="333">
        <v>59</v>
      </c>
      <c r="AL61" s="442"/>
      <c r="AP61" s="333" t="str">
        <f ca="1">IF(TYPE(VLOOKUP($A61,'2.kolo'!$L$3:$L$66,1,0))&gt;3,IF(TYPE(VLOOKUP($A61,'2.kolo'!$K$3:$L$66,2,0))&gt;3,0,VLOOKUP($A61,'2.kolo'!$K$3:$L$66,2,0)),VLOOKUP($A61,'2.kolo'!$L$3:$O$66,4,0))</f>
        <v/>
      </c>
      <c r="AQ61" s="333">
        <f ca="1">IF(TYPE(VLOOKUP($A61,'2.kolo'!$L$3:$L$66,1,0))&gt;3,IF(TYPE(VLOOKUP($A61,'2.kolo'!$O$3:$Q$66,2,0))&gt;3,0,VLOOKUP($A61,'2.kolo'!$O$3:$Q$66,2,0)),VLOOKUP($A61,'2.kolo'!$L$3:$N$66,2,0))</f>
        <v>0</v>
      </c>
      <c r="AR61" s="333">
        <f ca="1">IF(TYPE(VLOOKUP($A61,'2.kolo'!$L$3:$L$66,1,0))&gt;3,IF(TYPE(VLOOKUP($A61,'2.kolo'!$O$3:$Q$66,3,0))&gt;3,0,VLOOKUP($A61,'2.kolo'!$O$3:$Q$66,3,0)),VLOOKUP($A61,'2.kolo'!$L$3:$N$66,3,0))</f>
        <v>0</v>
      </c>
      <c r="AS61" s="333">
        <f t="shared" ca="1" si="20"/>
        <v>0</v>
      </c>
      <c r="AT61" s="415" t="s">
        <v>2005</v>
      </c>
      <c r="AU61" s="442" t="str">
        <f ca="1">IF(AT61="","",CONCATENATE(TEXT($O61,"0"),IF(Start.listina!$Y$5="","",TEXT(500+$P61,"000")),TEXT(999999*RAND(),"000000")))</f>
        <v/>
      </c>
      <c r="AV61" s="333">
        <f t="shared" ca="1" si="29"/>
        <v>0</v>
      </c>
      <c r="AY61" s="333" t="str">
        <f ca="1">IF(TYPE(VLOOKUP($A61,'3.kolo'!$L$3:$L$66,1,0))&gt;3,IF(TYPE(VLOOKUP($A61,'3.kolo'!$K$3:$L$66,2,0))&gt;3,0,VLOOKUP($A61,'3.kolo'!$K$3:$L$66,2,0)),VLOOKUP($A61,'3.kolo'!$L$3:$O$66,4,0))</f>
        <v/>
      </c>
      <c r="AZ61" s="333">
        <f ca="1">IF(TYPE(VLOOKUP($A61,'3.kolo'!$L$3:$L$66,1,0))&gt;3,IF(TYPE(VLOOKUP($A61,'3.kolo'!$O$3:$Q$66,2,0))&gt;3,0,VLOOKUP($A61,'3.kolo'!$O$3:$Q$66,2,0)),VLOOKUP($A61,'3.kolo'!$L$3:$N$66,2,0))</f>
        <v>0</v>
      </c>
      <c r="BA61" s="333">
        <f ca="1">IF(TYPE(VLOOKUP($A61,'3.kolo'!$L$3:$L$66,1,0))&gt;3,IF(TYPE(VLOOKUP($A61,'3.kolo'!$O$3:$Q$66,3,0))&gt;3,0,VLOOKUP($A61,'3.kolo'!$O$3:$Q$66,3,0)),VLOOKUP($A61,'3.kolo'!$L$3:$N$66,3,0))</f>
        <v>0</v>
      </c>
      <c r="BB61" s="333">
        <f t="shared" ca="1" si="21"/>
        <v>0</v>
      </c>
      <c r="BC61" s="415" t="s">
        <v>2005</v>
      </c>
      <c r="BD61" s="442" t="str">
        <f ca="1">IF(BC61="","",CONCATENATE(TEXT($O61,"0"),IF(Start.listina!$Y$5="","",TEXT(500+$P61,"000")),TEXT(999999*RAND(),"000000")))</f>
        <v/>
      </c>
      <c r="BE61" s="333">
        <f t="shared" ca="1" si="30"/>
        <v>0</v>
      </c>
      <c r="BH61" s="333" t="str">
        <f ca="1">IF(TYPE(VLOOKUP($A61,'4.kolo'!$L$3:$L$66,1,0))&gt;3,IF(TYPE(VLOOKUP($A61,'4.kolo'!$K$3:$L$66,2,0))&gt;3,0,VLOOKUP($A61,'4.kolo'!$K$3:$L$66,2,0)),VLOOKUP($A61,'4.kolo'!$L$3:$O$66,4,0))</f>
        <v/>
      </c>
      <c r="BI61" s="333">
        <f ca="1">IF(TYPE(VLOOKUP($A61,'4.kolo'!$L$3:$L$66,1,0))&gt;3,IF(TYPE(VLOOKUP($A61,'4.kolo'!$O$3:$Q$66,2,0))&gt;3,0,VLOOKUP($A61,'4.kolo'!$O$3:$Q$66,2,0)),VLOOKUP($A61,'4.kolo'!$L$3:$N$66,2,0))</f>
        <v>0</v>
      </c>
      <c r="BJ61" s="333">
        <f ca="1">IF(TYPE(VLOOKUP($A61,'4.kolo'!$L$3:$L$66,1,0))&gt;3,IF(TYPE(VLOOKUP($A61,'4.kolo'!$O$3:$Q$66,3,0))&gt;3,0,VLOOKUP($A61,'4.kolo'!$O$3:$Q$66,3,0)),VLOOKUP($A61,'4.kolo'!$L$3:$N$66,3,0))</f>
        <v>0</v>
      </c>
      <c r="BK61" s="333">
        <f t="shared" ca="1" si="22"/>
        <v>0</v>
      </c>
      <c r="BL61" s="415" t="s">
        <v>2005</v>
      </c>
      <c r="BM61" s="442" t="str">
        <f ca="1">IF(BL61="","",CONCATENATE(TEXT($O61,"0"),IF(Start.listina!$Y$5="","",TEXT(500+$P61,"000")),TEXT(999999*RAND(),"000000")))</f>
        <v/>
      </c>
      <c r="BN61" s="333">
        <f t="shared" ca="1" si="31"/>
        <v>0</v>
      </c>
      <c r="BQ61" s="333" t="str">
        <f ca="1">IF(TYPE(VLOOKUP($A61,'5.kolo'!$L$3:$L$66,1,0))&gt;3,IF(TYPE(VLOOKUP($A61,'5.kolo'!$K$3:$L$66,2,0))&gt;3,0,VLOOKUP($A61,'5.kolo'!$K$3:$L$66,2,0)),VLOOKUP($A61,'5.kolo'!$L$3:$O$66,4,0))</f>
        <v/>
      </c>
      <c r="BR61" s="333">
        <f ca="1">IF(TYPE(VLOOKUP($A61,'5.kolo'!$L$3:$L$66,1,0))&gt;3,IF(TYPE(VLOOKUP($A61,'5.kolo'!$O$3:$Q$66,2,0))&gt;3,0,VLOOKUP($A61,'5.kolo'!$O$3:$Q$66,2,0)),VLOOKUP($A61,'5.kolo'!$L$3:$N$66,2,0))</f>
        <v>0</v>
      </c>
      <c r="BS61" s="333">
        <f ca="1">IF(TYPE(VLOOKUP($A61,'5.kolo'!$L$3:$L$66,1,0))&gt;3,IF(TYPE(VLOOKUP($A61,'5.kolo'!$O$3:$Q$66,3,0))&gt;3,0,VLOOKUP($A61,'5.kolo'!$O$3:$Q$66,3,0)),VLOOKUP($A61,'5.kolo'!$L$3:$N$66,3,0))</f>
        <v>0</v>
      </c>
      <c r="BT61" s="333">
        <f t="shared" ca="1" si="23"/>
        <v>0</v>
      </c>
      <c r="BU61" s="415"/>
      <c r="BV61" s="442" t="str">
        <f ca="1">IF(BU61="","",CONCATENATE(TEXT($O61,"0"),IF(Start.listina!$Y$5="","",TEXT(500+$P61,"000")),TEXT(999999*RAND(),"000000")))</f>
        <v/>
      </c>
      <c r="BW61" s="333">
        <f t="shared" ca="1" si="32"/>
        <v>0</v>
      </c>
      <c r="BZ61" s="333" t="str">
        <f ca="1">IF(TYPE(VLOOKUP($A61,'6.kolo'!$L$3:$L$66,1,0))&gt;3,IF(TYPE(VLOOKUP($A61,'6.kolo'!$K$3:$L$66,2,0))&gt;3,0,VLOOKUP($A61,'6.kolo'!$K$3:$L$66,2,0)),VLOOKUP($A61,'6.kolo'!$L$3:$O$66,4,0))</f>
        <v/>
      </c>
      <c r="CA61" s="333">
        <f ca="1">IF(TYPE(VLOOKUP($A61,'6.kolo'!$L$3:$L$66,1,0))&gt;3,IF(TYPE(VLOOKUP($A61,'6.kolo'!$O$3:$Q$66,2,0))&gt;3,0,VLOOKUP($A61,'6.kolo'!$O$3:$Q$66,2,0)),VLOOKUP($A61,'6.kolo'!$L$3:$N$66,2,0))</f>
        <v>0</v>
      </c>
      <c r="CB61" s="333">
        <f ca="1">IF(TYPE(VLOOKUP($A61,'6.kolo'!$L$3:$L$66,1,0))&gt;3,IF(TYPE(VLOOKUP($A61,'6.kolo'!$O$3:$Q$66,3,0))&gt;3,0,VLOOKUP($A61,'6.kolo'!$O$3:$Q$66,3,0)),VLOOKUP($A61,'6.kolo'!$L$3:$N$66,3,0))</f>
        <v>0</v>
      </c>
      <c r="CC61" s="333">
        <f t="shared" ca="1" si="24"/>
        <v>0</v>
      </c>
      <c r="CD61" s="415"/>
      <c r="CE61" s="442" t="str">
        <f ca="1">IF(CD61="","",CONCATENATE(TEXT($O61,"0"),IF(Start.listina!$Y$5="","",TEXT(500+$P61,"000")),TEXT(999999*RAND(),"000000")))</f>
        <v/>
      </c>
      <c r="CF61" s="333">
        <f t="shared" ca="1" si="33"/>
        <v>0</v>
      </c>
    </row>
    <row r="62" spans="1:84" x14ac:dyDescent="0.25">
      <c r="A62" s="333" t="str">
        <f>IF(OR(Start.listina!H70&gt;Start.listina!$K$7,Start.listina!G70=TRUE),"",Start.listina!H70)</f>
        <v/>
      </c>
      <c r="B62" s="333" t="str">
        <f>IF($A62&gt;Start.listina!$K$7,"",INT(($A62-1)/Start.listina!$O$7)+1)</f>
        <v/>
      </c>
      <c r="C62" s="439" t="str">
        <f>IF(OR(Start.listina!H70&gt;Start.listina!$K$7,Start.listina!G70=TRUE)," - ",Start.listina!AL70)</f>
        <v xml:space="preserve"> - </v>
      </c>
      <c r="D62" s="333" t="str">
        <f>IF(OR(A62&gt;Start.listina!$K$7,TYPE(VLOOKUP(A62,$V$3:$X$130,3,0))&gt;3),"",VLOOKUP(A62,$V$3:$X$130,3,0))</f>
        <v/>
      </c>
      <c r="E62" s="440" t="str">
        <f>IF(A62&gt;Start.listina!$K$7,"",IF(MIN(F62:K62)&gt;Start.listina!$Y$4,D62,MIN(F62:K62)))</f>
        <v/>
      </c>
      <c r="F62" s="333">
        <f ca="1">IF(TYPE(VLOOKUP(C62,Konečné_pořadí_1_16!$B$2:$D$17,3,0))&lt;4,VLOOKUP(C62,Konečné_pořadí_1_16!$B$2:$D$17,3,0),999)</f>
        <v>999</v>
      </c>
      <c r="G62" s="333">
        <f ca="1">IF(TYPE(VLOOKUP(C62,'KO64'!$D$4:$D$129,1,0))&lt;4,64,999)</f>
        <v>64</v>
      </c>
      <c r="H62" s="333">
        <f ca="1">IF(TYPE(VLOOKUP(C62,'KO32'!$D$4:$D$65,1,0))&lt;4,32,999)</f>
        <v>32</v>
      </c>
      <c r="I62" s="333">
        <f ca="1">IF(TYPE(VLOOKUP(C62,'KO16'!$D$4:$D$33,1,0))&lt;4,16,999)</f>
        <v>999</v>
      </c>
      <c r="J62" s="333">
        <f ca="1">IF(TYPE(VLOOKUP(C62,'KO8'!$D$4:$D$17,1,0))&lt;4,8,999)</f>
        <v>999</v>
      </c>
      <c r="K62" s="333">
        <f ca="1">IF(TYPE(VLOOKUP(C62,'KO4'!$D$4:$D$9,1,0))&lt;4,4,999)</f>
        <v>999</v>
      </c>
      <c r="M62" s="334">
        <v>60</v>
      </c>
      <c r="O62" s="333">
        <f t="shared" ca="1" si="8"/>
        <v>0</v>
      </c>
      <c r="P62" s="333">
        <f t="shared" ca="1" si="9"/>
        <v>0</v>
      </c>
      <c r="Q62" s="333">
        <f t="shared" ca="1" si="26"/>
        <v>2</v>
      </c>
      <c r="R62" s="333">
        <f t="shared" ca="1" si="27"/>
        <v>0</v>
      </c>
      <c r="S62" s="333">
        <f t="shared" ca="1" si="10"/>
        <v>16</v>
      </c>
      <c r="T62" s="333">
        <f t="shared" ca="1" si="11"/>
        <v>0</v>
      </c>
      <c r="U62" s="415">
        <f t="shared" si="25"/>
        <v>60</v>
      </c>
      <c r="V62" s="415" t="s">
        <v>2005</v>
      </c>
      <c r="W62" s="441" t="str">
        <f ca="1">IF($V62="","",CONCATENATE(TEXT($O62,"0"),IF(Start.listina!$Y$5="","",TEXT(500+$P62,"0000")),IF(Start.listina!$Y$6="","",CHOOSE(Start.listina!$Y$7,TEXT($Q62,"00"),CONCATENATE(TEXT($Q62,"00"),TEXT($S62,"000")), TEXT($R62,"00"))),TEXT(500+$P62,"0000"),IF(Start.listina!$Y$8="","",TEXT($T62,"0")),TEXT(999999*RAND(),"000000")))</f>
        <v/>
      </c>
      <c r="X62" s="417">
        <f t="shared" si="12"/>
        <v>60</v>
      </c>
      <c r="Y62" s="415">
        <f t="shared" ca="1" si="28"/>
        <v>0</v>
      </c>
      <c r="Z62" s="333">
        <f t="shared" ca="1" si="13"/>
        <v>51</v>
      </c>
      <c r="AA62" s="333" t="str">
        <f t="shared" ca="1" si="14"/>
        <v/>
      </c>
      <c r="AB62" s="333" t="str">
        <f t="shared" ca="1" si="15"/>
        <v/>
      </c>
      <c r="AC62" s="333" t="str">
        <f t="shared" ca="1" si="16"/>
        <v/>
      </c>
      <c r="AD62" s="333" t="str">
        <f t="shared" ca="1" si="17"/>
        <v/>
      </c>
      <c r="AE62" s="333" t="str">
        <f t="shared" ca="1" si="18"/>
        <v/>
      </c>
      <c r="AG62" s="333">
        <f ca="1">IF(TYPE(VLOOKUP($A62,'1.kolo'!$L$3:$L$66,1,0))&gt;3,VLOOKUP($A62,'1.kolo'!$K$3:$L$66,2,0),VLOOKUP($A62,'1.kolo'!$L$3:$O$66,4,0))</f>
        <v>51</v>
      </c>
      <c r="AH62" s="333">
        <f ca="1">IF(TYPE(VLOOKUP($A62,'1.kolo'!$L$3:$L$66,1,0))&gt;3,VLOOKUP($A62,'1.kolo'!$O$3:$Q$66,2,0),VLOOKUP($A62,'1.kolo'!$L$3:$N$66,2,0))</f>
        <v>0</v>
      </c>
      <c r="AI62" s="333">
        <f ca="1">IF(TYPE(VLOOKUP($A62,'1.kolo'!$L$3:$L$66,1,0))&gt;3,VLOOKUP($A62,'1.kolo'!$O$3:$Q$66,3,0),VLOOKUP($A62,'1.kolo'!$L$3:$N$66,3,0))</f>
        <v>0</v>
      </c>
      <c r="AJ62" s="333">
        <f t="shared" ca="1" si="19"/>
        <v>0</v>
      </c>
      <c r="AK62" s="333">
        <v>60</v>
      </c>
      <c r="AL62" s="442"/>
      <c r="AP62" s="333" t="str">
        <f ca="1">IF(TYPE(VLOOKUP($A62,'2.kolo'!$L$3:$L$66,1,0))&gt;3,IF(TYPE(VLOOKUP($A62,'2.kolo'!$K$3:$L$66,2,0))&gt;3,0,VLOOKUP($A62,'2.kolo'!$K$3:$L$66,2,0)),VLOOKUP($A62,'2.kolo'!$L$3:$O$66,4,0))</f>
        <v/>
      </c>
      <c r="AQ62" s="333">
        <f ca="1">IF(TYPE(VLOOKUP($A62,'2.kolo'!$L$3:$L$66,1,0))&gt;3,IF(TYPE(VLOOKUP($A62,'2.kolo'!$O$3:$Q$66,2,0))&gt;3,0,VLOOKUP($A62,'2.kolo'!$O$3:$Q$66,2,0)),VLOOKUP($A62,'2.kolo'!$L$3:$N$66,2,0))</f>
        <v>0</v>
      </c>
      <c r="AR62" s="333">
        <f ca="1">IF(TYPE(VLOOKUP($A62,'2.kolo'!$L$3:$L$66,1,0))&gt;3,IF(TYPE(VLOOKUP($A62,'2.kolo'!$O$3:$Q$66,3,0))&gt;3,0,VLOOKUP($A62,'2.kolo'!$O$3:$Q$66,3,0)),VLOOKUP($A62,'2.kolo'!$L$3:$N$66,3,0))</f>
        <v>0</v>
      </c>
      <c r="AS62" s="333">
        <f t="shared" ca="1" si="20"/>
        <v>0</v>
      </c>
      <c r="AT62" s="415" t="s">
        <v>2005</v>
      </c>
      <c r="AU62" s="442" t="str">
        <f ca="1">IF(AT62="","",CONCATENATE(TEXT($O62,"0"),IF(Start.listina!$Y$5="","",TEXT(500+$P62,"000")),TEXT(999999*RAND(),"000000")))</f>
        <v/>
      </c>
      <c r="AV62" s="333">
        <f t="shared" ca="1" si="29"/>
        <v>0</v>
      </c>
      <c r="AY62" s="333" t="str">
        <f ca="1">IF(TYPE(VLOOKUP($A62,'3.kolo'!$L$3:$L$66,1,0))&gt;3,IF(TYPE(VLOOKUP($A62,'3.kolo'!$K$3:$L$66,2,0))&gt;3,0,VLOOKUP($A62,'3.kolo'!$K$3:$L$66,2,0)),VLOOKUP($A62,'3.kolo'!$L$3:$O$66,4,0))</f>
        <v/>
      </c>
      <c r="AZ62" s="333">
        <f ca="1">IF(TYPE(VLOOKUP($A62,'3.kolo'!$L$3:$L$66,1,0))&gt;3,IF(TYPE(VLOOKUP($A62,'3.kolo'!$O$3:$Q$66,2,0))&gt;3,0,VLOOKUP($A62,'3.kolo'!$O$3:$Q$66,2,0)),VLOOKUP($A62,'3.kolo'!$L$3:$N$66,2,0))</f>
        <v>0</v>
      </c>
      <c r="BA62" s="333">
        <f ca="1">IF(TYPE(VLOOKUP($A62,'3.kolo'!$L$3:$L$66,1,0))&gt;3,IF(TYPE(VLOOKUP($A62,'3.kolo'!$O$3:$Q$66,3,0))&gt;3,0,VLOOKUP($A62,'3.kolo'!$O$3:$Q$66,3,0)),VLOOKUP($A62,'3.kolo'!$L$3:$N$66,3,0))</f>
        <v>0</v>
      </c>
      <c r="BB62" s="333">
        <f t="shared" ca="1" si="21"/>
        <v>0</v>
      </c>
      <c r="BC62" s="415" t="s">
        <v>2005</v>
      </c>
      <c r="BD62" s="442" t="str">
        <f ca="1">IF(BC62="","",CONCATENATE(TEXT($O62,"0"),IF(Start.listina!$Y$5="","",TEXT(500+$P62,"000")),TEXT(999999*RAND(),"000000")))</f>
        <v/>
      </c>
      <c r="BE62" s="333">
        <f t="shared" ca="1" si="30"/>
        <v>0</v>
      </c>
      <c r="BH62" s="333" t="str">
        <f ca="1">IF(TYPE(VLOOKUP($A62,'4.kolo'!$L$3:$L$66,1,0))&gt;3,IF(TYPE(VLOOKUP($A62,'4.kolo'!$K$3:$L$66,2,0))&gt;3,0,VLOOKUP($A62,'4.kolo'!$K$3:$L$66,2,0)),VLOOKUP($A62,'4.kolo'!$L$3:$O$66,4,0))</f>
        <v/>
      </c>
      <c r="BI62" s="333">
        <f ca="1">IF(TYPE(VLOOKUP($A62,'4.kolo'!$L$3:$L$66,1,0))&gt;3,IF(TYPE(VLOOKUP($A62,'4.kolo'!$O$3:$Q$66,2,0))&gt;3,0,VLOOKUP($A62,'4.kolo'!$O$3:$Q$66,2,0)),VLOOKUP($A62,'4.kolo'!$L$3:$N$66,2,0))</f>
        <v>0</v>
      </c>
      <c r="BJ62" s="333">
        <f ca="1">IF(TYPE(VLOOKUP($A62,'4.kolo'!$L$3:$L$66,1,0))&gt;3,IF(TYPE(VLOOKUP($A62,'4.kolo'!$O$3:$Q$66,3,0))&gt;3,0,VLOOKUP($A62,'4.kolo'!$O$3:$Q$66,3,0)),VLOOKUP($A62,'4.kolo'!$L$3:$N$66,3,0))</f>
        <v>0</v>
      </c>
      <c r="BK62" s="333">
        <f t="shared" ca="1" si="22"/>
        <v>0</v>
      </c>
      <c r="BL62" s="415" t="s">
        <v>2005</v>
      </c>
      <c r="BM62" s="442" t="str">
        <f ca="1">IF(BL62="","",CONCATENATE(TEXT($O62,"0"),IF(Start.listina!$Y$5="","",TEXT(500+$P62,"000")),TEXT(999999*RAND(),"000000")))</f>
        <v/>
      </c>
      <c r="BN62" s="333">
        <f t="shared" ca="1" si="31"/>
        <v>0</v>
      </c>
      <c r="BQ62" s="333" t="str">
        <f ca="1">IF(TYPE(VLOOKUP($A62,'5.kolo'!$L$3:$L$66,1,0))&gt;3,IF(TYPE(VLOOKUP($A62,'5.kolo'!$K$3:$L$66,2,0))&gt;3,0,VLOOKUP($A62,'5.kolo'!$K$3:$L$66,2,0)),VLOOKUP($A62,'5.kolo'!$L$3:$O$66,4,0))</f>
        <v/>
      </c>
      <c r="BR62" s="333">
        <f ca="1">IF(TYPE(VLOOKUP($A62,'5.kolo'!$L$3:$L$66,1,0))&gt;3,IF(TYPE(VLOOKUP($A62,'5.kolo'!$O$3:$Q$66,2,0))&gt;3,0,VLOOKUP($A62,'5.kolo'!$O$3:$Q$66,2,0)),VLOOKUP($A62,'5.kolo'!$L$3:$N$66,2,0))</f>
        <v>0</v>
      </c>
      <c r="BS62" s="333">
        <f ca="1">IF(TYPE(VLOOKUP($A62,'5.kolo'!$L$3:$L$66,1,0))&gt;3,IF(TYPE(VLOOKUP($A62,'5.kolo'!$O$3:$Q$66,3,0))&gt;3,0,VLOOKUP($A62,'5.kolo'!$O$3:$Q$66,3,0)),VLOOKUP($A62,'5.kolo'!$L$3:$N$66,3,0))</f>
        <v>0</v>
      </c>
      <c r="BT62" s="333">
        <f t="shared" ca="1" si="23"/>
        <v>0</v>
      </c>
      <c r="BU62" s="415"/>
      <c r="BV62" s="442" t="str">
        <f ca="1">IF(BU62="","",CONCATENATE(TEXT($O62,"0"),IF(Start.listina!$Y$5="","",TEXT(500+$P62,"000")),TEXT(999999*RAND(),"000000")))</f>
        <v/>
      </c>
      <c r="BW62" s="333">
        <f t="shared" ca="1" si="32"/>
        <v>0</v>
      </c>
      <c r="BZ62" s="333" t="str">
        <f ca="1">IF(TYPE(VLOOKUP($A62,'6.kolo'!$L$3:$L$66,1,0))&gt;3,IF(TYPE(VLOOKUP($A62,'6.kolo'!$K$3:$L$66,2,0))&gt;3,0,VLOOKUP($A62,'6.kolo'!$K$3:$L$66,2,0)),VLOOKUP($A62,'6.kolo'!$L$3:$O$66,4,0))</f>
        <v/>
      </c>
      <c r="CA62" s="333">
        <f ca="1">IF(TYPE(VLOOKUP($A62,'6.kolo'!$L$3:$L$66,1,0))&gt;3,IF(TYPE(VLOOKUP($A62,'6.kolo'!$O$3:$Q$66,2,0))&gt;3,0,VLOOKUP($A62,'6.kolo'!$O$3:$Q$66,2,0)),VLOOKUP($A62,'6.kolo'!$L$3:$N$66,2,0))</f>
        <v>0</v>
      </c>
      <c r="CB62" s="333">
        <f ca="1">IF(TYPE(VLOOKUP($A62,'6.kolo'!$L$3:$L$66,1,0))&gt;3,IF(TYPE(VLOOKUP($A62,'6.kolo'!$O$3:$Q$66,3,0))&gt;3,0,VLOOKUP($A62,'6.kolo'!$O$3:$Q$66,3,0)),VLOOKUP($A62,'6.kolo'!$L$3:$N$66,3,0))</f>
        <v>0</v>
      </c>
      <c r="CC62" s="333">
        <f t="shared" ca="1" si="24"/>
        <v>0</v>
      </c>
      <c r="CD62" s="415"/>
      <c r="CE62" s="442" t="str">
        <f ca="1">IF(CD62="","",CONCATENATE(TEXT($O62,"0"),IF(Start.listina!$Y$5="","",TEXT(500+$P62,"000")),TEXT(999999*RAND(),"000000")))</f>
        <v/>
      </c>
      <c r="CF62" s="333">
        <f t="shared" ca="1" si="33"/>
        <v>0</v>
      </c>
    </row>
    <row r="63" spans="1:84" x14ac:dyDescent="0.25">
      <c r="A63" s="333" t="str">
        <f>IF(OR(Start.listina!H71&gt;Start.listina!$K$7,Start.listina!G71=TRUE),"",Start.listina!H71)</f>
        <v/>
      </c>
      <c r="B63" s="333" t="str">
        <f>IF($A63&gt;Start.listina!$K$7,"",INT(($A63-1)/Start.listina!$O$7)+1)</f>
        <v/>
      </c>
      <c r="C63" s="439" t="str">
        <f>IF(OR(Start.listina!H71&gt;Start.listina!$K$7,Start.listina!G71=TRUE)," - ",Start.listina!AL71)</f>
        <v xml:space="preserve"> - </v>
      </c>
      <c r="D63" s="333" t="str">
        <f>IF(OR(A63&gt;Start.listina!$K$7,TYPE(VLOOKUP(A63,$V$3:$X$130,3,0))&gt;3),"",VLOOKUP(A63,$V$3:$X$130,3,0))</f>
        <v/>
      </c>
      <c r="E63" s="440" t="str">
        <f>IF(A63&gt;Start.listina!$K$7,"",IF(MIN(F63:K63)&gt;Start.listina!$Y$4,D63,MIN(F63:K63)))</f>
        <v/>
      </c>
      <c r="F63" s="333">
        <f ca="1">IF(TYPE(VLOOKUP(C63,Konečné_pořadí_1_16!$B$2:$D$17,3,0))&lt;4,VLOOKUP(C63,Konečné_pořadí_1_16!$B$2:$D$17,3,0),999)</f>
        <v>999</v>
      </c>
      <c r="G63" s="333">
        <f ca="1">IF(TYPE(VLOOKUP(C63,'KO64'!$D$4:$D$129,1,0))&lt;4,64,999)</f>
        <v>64</v>
      </c>
      <c r="H63" s="333">
        <f ca="1">IF(TYPE(VLOOKUP(C63,'KO32'!$D$4:$D$65,1,0))&lt;4,32,999)</f>
        <v>32</v>
      </c>
      <c r="I63" s="333">
        <f ca="1">IF(TYPE(VLOOKUP(C63,'KO16'!$D$4:$D$33,1,0))&lt;4,16,999)</f>
        <v>999</v>
      </c>
      <c r="J63" s="333">
        <f ca="1">IF(TYPE(VLOOKUP(C63,'KO8'!$D$4:$D$17,1,0))&lt;4,8,999)</f>
        <v>999</v>
      </c>
      <c r="K63" s="333">
        <f ca="1">IF(TYPE(VLOOKUP(C63,'KO4'!$D$4:$D$9,1,0))&lt;4,4,999)</f>
        <v>999</v>
      </c>
      <c r="M63" s="334">
        <v>61</v>
      </c>
      <c r="O63" s="333">
        <f t="shared" ca="1" si="8"/>
        <v>0</v>
      </c>
      <c r="P63" s="333">
        <f t="shared" ca="1" si="9"/>
        <v>0</v>
      </c>
      <c r="Q63" s="333">
        <f t="shared" ca="1" si="26"/>
        <v>2</v>
      </c>
      <c r="R63" s="333">
        <f t="shared" ca="1" si="27"/>
        <v>0</v>
      </c>
      <c r="S63" s="333">
        <f t="shared" ca="1" si="10"/>
        <v>16</v>
      </c>
      <c r="T63" s="333">
        <f t="shared" ca="1" si="11"/>
        <v>0</v>
      </c>
      <c r="U63" s="415">
        <f t="shared" si="25"/>
        <v>61</v>
      </c>
      <c r="V63" s="415" t="s">
        <v>2005</v>
      </c>
      <c r="W63" s="441" t="str">
        <f ca="1">IF($V63="","",CONCATENATE(TEXT($O63,"0"),IF(Start.listina!$Y$5="","",TEXT(500+$P63,"0000")),IF(Start.listina!$Y$6="","",CHOOSE(Start.listina!$Y$7,TEXT($Q63,"00"),CONCATENATE(TEXT($Q63,"00"),TEXT($S63,"000")), TEXT($R63,"00"))),TEXT(500+$P63,"0000"),IF(Start.listina!$Y$8="","",TEXT($T63,"0")),TEXT(999999*RAND(),"000000")))</f>
        <v/>
      </c>
      <c r="X63" s="417">
        <f t="shared" si="12"/>
        <v>61</v>
      </c>
      <c r="Y63" s="415">
        <f t="shared" ca="1" si="28"/>
        <v>0</v>
      </c>
      <c r="Z63" s="333">
        <f t="shared" ca="1" si="13"/>
        <v>51</v>
      </c>
      <c r="AA63" s="333" t="str">
        <f t="shared" ca="1" si="14"/>
        <v/>
      </c>
      <c r="AB63" s="333" t="str">
        <f t="shared" ca="1" si="15"/>
        <v/>
      </c>
      <c r="AC63" s="333" t="str">
        <f t="shared" ca="1" si="16"/>
        <v/>
      </c>
      <c r="AD63" s="333" t="str">
        <f t="shared" ca="1" si="17"/>
        <v/>
      </c>
      <c r="AE63" s="333" t="str">
        <f t="shared" ca="1" si="18"/>
        <v/>
      </c>
      <c r="AG63" s="333">
        <f ca="1">IF(TYPE(VLOOKUP($A63,'1.kolo'!$L$3:$L$66,1,0))&gt;3,VLOOKUP($A63,'1.kolo'!$K$3:$L$66,2,0),VLOOKUP($A63,'1.kolo'!$L$3:$O$66,4,0))</f>
        <v>51</v>
      </c>
      <c r="AH63" s="333">
        <f ca="1">IF(TYPE(VLOOKUP($A63,'1.kolo'!$L$3:$L$66,1,0))&gt;3,VLOOKUP($A63,'1.kolo'!$O$3:$Q$66,2,0),VLOOKUP($A63,'1.kolo'!$L$3:$N$66,2,0))</f>
        <v>0</v>
      </c>
      <c r="AI63" s="333">
        <f ca="1">IF(TYPE(VLOOKUP($A63,'1.kolo'!$L$3:$L$66,1,0))&gt;3,VLOOKUP($A63,'1.kolo'!$O$3:$Q$66,3,0),VLOOKUP($A63,'1.kolo'!$L$3:$N$66,3,0))</f>
        <v>0</v>
      </c>
      <c r="AJ63" s="333">
        <f t="shared" ca="1" si="19"/>
        <v>0</v>
      </c>
      <c r="AK63" s="333">
        <v>61</v>
      </c>
      <c r="AL63" s="442"/>
      <c r="AP63" s="333" t="str">
        <f ca="1">IF(TYPE(VLOOKUP($A63,'2.kolo'!$L$3:$L$66,1,0))&gt;3,IF(TYPE(VLOOKUP($A63,'2.kolo'!$K$3:$L$66,2,0))&gt;3,0,VLOOKUP($A63,'2.kolo'!$K$3:$L$66,2,0)),VLOOKUP($A63,'2.kolo'!$L$3:$O$66,4,0))</f>
        <v/>
      </c>
      <c r="AQ63" s="333">
        <f ca="1">IF(TYPE(VLOOKUP($A63,'2.kolo'!$L$3:$L$66,1,0))&gt;3,IF(TYPE(VLOOKUP($A63,'2.kolo'!$O$3:$Q$66,2,0))&gt;3,0,VLOOKUP($A63,'2.kolo'!$O$3:$Q$66,2,0)),VLOOKUP($A63,'2.kolo'!$L$3:$N$66,2,0))</f>
        <v>0</v>
      </c>
      <c r="AR63" s="333">
        <f ca="1">IF(TYPE(VLOOKUP($A63,'2.kolo'!$L$3:$L$66,1,0))&gt;3,IF(TYPE(VLOOKUP($A63,'2.kolo'!$O$3:$Q$66,3,0))&gt;3,0,VLOOKUP($A63,'2.kolo'!$O$3:$Q$66,3,0)),VLOOKUP($A63,'2.kolo'!$L$3:$N$66,3,0))</f>
        <v>0</v>
      </c>
      <c r="AS63" s="333">
        <f t="shared" ca="1" si="20"/>
        <v>0</v>
      </c>
      <c r="AT63" s="415" t="s">
        <v>2005</v>
      </c>
      <c r="AU63" s="442" t="str">
        <f ca="1">IF(AT63="","",CONCATENATE(TEXT($O63,"0"),IF(Start.listina!$Y$5="","",TEXT(500+$P63,"000")),TEXT(999999*RAND(),"000000")))</f>
        <v/>
      </c>
      <c r="AV63" s="333">
        <f t="shared" ca="1" si="29"/>
        <v>0</v>
      </c>
      <c r="AY63" s="333" t="str">
        <f ca="1">IF(TYPE(VLOOKUP($A63,'3.kolo'!$L$3:$L$66,1,0))&gt;3,IF(TYPE(VLOOKUP($A63,'3.kolo'!$K$3:$L$66,2,0))&gt;3,0,VLOOKUP($A63,'3.kolo'!$K$3:$L$66,2,0)),VLOOKUP($A63,'3.kolo'!$L$3:$O$66,4,0))</f>
        <v/>
      </c>
      <c r="AZ63" s="333">
        <f ca="1">IF(TYPE(VLOOKUP($A63,'3.kolo'!$L$3:$L$66,1,0))&gt;3,IF(TYPE(VLOOKUP($A63,'3.kolo'!$O$3:$Q$66,2,0))&gt;3,0,VLOOKUP($A63,'3.kolo'!$O$3:$Q$66,2,0)),VLOOKUP($A63,'3.kolo'!$L$3:$N$66,2,0))</f>
        <v>0</v>
      </c>
      <c r="BA63" s="333">
        <f ca="1">IF(TYPE(VLOOKUP($A63,'3.kolo'!$L$3:$L$66,1,0))&gt;3,IF(TYPE(VLOOKUP($A63,'3.kolo'!$O$3:$Q$66,3,0))&gt;3,0,VLOOKUP($A63,'3.kolo'!$O$3:$Q$66,3,0)),VLOOKUP($A63,'3.kolo'!$L$3:$N$66,3,0))</f>
        <v>0</v>
      </c>
      <c r="BB63" s="333">
        <f t="shared" ca="1" si="21"/>
        <v>0</v>
      </c>
      <c r="BC63" s="415" t="s">
        <v>2005</v>
      </c>
      <c r="BD63" s="442" t="str">
        <f ca="1">IF(BC63="","",CONCATENATE(TEXT($O63,"0"),IF(Start.listina!$Y$5="","",TEXT(500+$P63,"000")),TEXT(999999*RAND(),"000000")))</f>
        <v/>
      </c>
      <c r="BE63" s="333">
        <f t="shared" ca="1" si="30"/>
        <v>0</v>
      </c>
      <c r="BH63" s="333" t="str">
        <f ca="1">IF(TYPE(VLOOKUP($A63,'4.kolo'!$L$3:$L$66,1,0))&gt;3,IF(TYPE(VLOOKUP($A63,'4.kolo'!$K$3:$L$66,2,0))&gt;3,0,VLOOKUP($A63,'4.kolo'!$K$3:$L$66,2,0)),VLOOKUP($A63,'4.kolo'!$L$3:$O$66,4,0))</f>
        <v/>
      </c>
      <c r="BI63" s="333">
        <f ca="1">IF(TYPE(VLOOKUP($A63,'4.kolo'!$L$3:$L$66,1,0))&gt;3,IF(TYPE(VLOOKUP($A63,'4.kolo'!$O$3:$Q$66,2,0))&gt;3,0,VLOOKUP($A63,'4.kolo'!$O$3:$Q$66,2,0)),VLOOKUP($A63,'4.kolo'!$L$3:$N$66,2,0))</f>
        <v>0</v>
      </c>
      <c r="BJ63" s="333">
        <f ca="1">IF(TYPE(VLOOKUP($A63,'4.kolo'!$L$3:$L$66,1,0))&gt;3,IF(TYPE(VLOOKUP($A63,'4.kolo'!$O$3:$Q$66,3,0))&gt;3,0,VLOOKUP($A63,'4.kolo'!$O$3:$Q$66,3,0)),VLOOKUP($A63,'4.kolo'!$L$3:$N$66,3,0))</f>
        <v>0</v>
      </c>
      <c r="BK63" s="333">
        <f t="shared" ca="1" si="22"/>
        <v>0</v>
      </c>
      <c r="BL63" s="415" t="s">
        <v>2005</v>
      </c>
      <c r="BM63" s="442" t="str">
        <f ca="1">IF(BL63="","",CONCATENATE(TEXT($O63,"0"),IF(Start.listina!$Y$5="","",TEXT(500+$P63,"000")),TEXT(999999*RAND(),"000000")))</f>
        <v/>
      </c>
      <c r="BN63" s="333">
        <f t="shared" ca="1" si="31"/>
        <v>0</v>
      </c>
      <c r="BQ63" s="333" t="str">
        <f ca="1">IF(TYPE(VLOOKUP($A63,'5.kolo'!$L$3:$L$66,1,0))&gt;3,IF(TYPE(VLOOKUP($A63,'5.kolo'!$K$3:$L$66,2,0))&gt;3,0,VLOOKUP($A63,'5.kolo'!$K$3:$L$66,2,0)),VLOOKUP($A63,'5.kolo'!$L$3:$O$66,4,0))</f>
        <v/>
      </c>
      <c r="BR63" s="333">
        <f ca="1">IF(TYPE(VLOOKUP($A63,'5.kolo'!$L$3:$L$66,1,0))&gt;3,IF(TYPE(VLOOKUP($A63,'5.kolo'!$O$3:$Q$66,2,0))&gt;3,0,VLOOKUP($A63,'5.kolo'!$O$3:$Q$66,2,0)),VLOOKUP($A63,'5.kolo'!$L$3:$N$66,2,0))</f>
        <v>0</v>
      </c>
      <c r="BS63" s="333">
        <f ca="1">IF(TYPE(VLOOKUP($A63,'5.kolo'!$L$3:$L$66,1,0))&gt;3,IF(TYPE(VLOOKUP($A63,'5.kolo'!$O$3:$Q$66,3,0))&gt;3,0,VLOOKUP($A63,'5.kolo'!$O$3:$Q$66,3,0)),VLOOKUP($A63,'5.kolo'!$L$3:$N$66,3,0))</f>
        <v>0</v>
      </c>
      <c r="BT63" s="333">
        <f t="shared" ca="1" si="23"/>
        <v>0</v>
      </c>
      <c r="BU63" s="415"/>
      <c r="BV63" s="442" t="str">
        <f ca="1">IF(BU63="","",CONCATENATE(TEXT($O63,"0"),IF(Start.listina!$Y$5="","",TEXT(500+$P63,"000")),TEXT(999999*RAND(),"000000")))</f>
        <v/>
      </c>
      <c r="BW63" s="333">
        <f t="shared" ca="1" si="32"/>
        <v>0</v>
      </c>
      <c r="BZ63" s="333" t="str">
        <f ca="1">IF(TYPE(VLOOKUP($A63,'6.kolo'!$L$3:$L$66,1,0))&gt;3,IF(TYPE(VLOOKUP($A63,'6.kolo'!$K$3:$L$66,2,0))&gt;3,0,VLOOKUP($A63,'6.kolo'!$K$3:$L$66,2,0)),VLOOKUP($A63,'6.kolo'!$L$3:$O$66,4,0))</f>
        <v/>
      </c>
      <c r="CA63" s="333">
        <f ca="1">IF(TYPE(VLOOKUP($A63,'6.kolo'!$L$3:$L$66,1,0))&gt;3,IF(TYPE(VLOOKUP($A63,'6.kolo'!$O$3:$Q$66,2,0))&gt;3,0,VLOOKUP($A63,'6.kolo'!$O$3:$Q$66,2,0)),VLOOKUP($A63,'6.kolo'!$L$3:$N$66,2,0))</f>
        <v>0</v>
      </c>
      <c r="CB63" s="333">
        <f ca="1">IF(TYPE(VLOOKUP($A63,'6.kolo'!$L$3:$L$66,1,0))&gt;3,IF(TYPE(VLOOKUP($A63,'6.kolo'!$O$3:$Q$66,3,0))&gt;3,0,VLOOKUP($A63,'6.kolo'!$O$3:$Q$66,3,0)),VLOOKUP($A63,'6.kolo'!$L$3:$N$66,3,0))</f>
        <v>0</v>
      </c>
      <c r="CC63" s="333">
        <f t="shared" ca="1" si="24"/>
        <v>0</v>
      </c>
      <c r="CD63" s="415"/>
      <c r="CE63" s="442" t="str">
        <f ca="1">IF(CD63="","",CONCATENATE(TEXT($O63,"0"),IF(Start.listina!$Y$5="","",TEXT(500+$P63,"000")),TEXT(999999*RAND(),"000000")))</f>
        <v/>
      </c>
      <c r="CF63" s="333">
        <f t="shared" ca="1" si="33"/>
        <v>0</v>
      </c>
    </row>
    <row r="64" spans="1:84" x14ac:dyDescent="0.25">
      <c r="A64" s="333" t="str">
        <f>IF(OR(Start.listina!H72&gt;Start.listina!$K$7,Start.listina!G72=TRUE),"",Start.listina!H72)</f>
        <v/>
      </c>
      <c r="B64" s="333" t="str">
        <f>IF($A64&gt;Start.listina!$K$7,"",INT(($A64-1)/Start.listina!$O$7)+1)</f>
        <v/>
      </c>
      <c r="C64" s="439" t="str">
        <f>IF(OR(Start.listina!H72&gt;Start.listina!$K$7,Start.listina!G72=TRUE)," - ",Start.listina!AL72)</f>
        <v xml:space="preserve"> - </v>
      </c>
      <c r="D64" s="333" t="str">
        <f>IF(OR(A64&gt;Start.listina!$K$7,TYPE(VLOOKUP(A64,$V$3:$X$130,3,0))&gt;3),"",VLOOKUP(A64,$V$3:$X$130,3,0))</f>
        <v/>
      </c>
      <c r="E64" s="440" t="str">
        <f>IF(A64&gt;Start.listina!$K$7,"",IF(MIN(F64:K64)&gt;Start.listina!$Y$4,D64,MIN(F64:K64)))</f>
        <v/>
      </c>
      <c r="F64" s="333">
        <f ca="1">IF(TYPE(VLOOKUP(C64,Konečné_pořadí_1_16!$B$2:$D$17,3,0))&lt;4,VLOOKUP(C64,Konečné_pořadí_1_16!$B$2:$D$17,3,0),999)</f>
        <v>999</v>
      </c>
      <c r="G64" s="333">
        <f ca="1">IF(TYPE(VLOOKUP(C64,'KO64'!$D$4:$D$129,1,0))&lt;4,64,999)</f>
        <v>64</v>
      </c>
      <c r="H64" s="333">
        <f ca="1">IF(TYPE(VLOOKUP(C64,'KO32'!$D$4:$D$65,1,0))&lt;4,32,999)</f>
        <v>32</v>
      </c>
      <c r="I64" s="333">
        <f ca="1">IF(TYPE(VLOOKUP(C64,'KO16'!$D$4:$D$33,1,0))&lt;4,16,999)</f>
        <v>999</v>
      </c>
      <c r="J64" s="333">
        <f ca="1">IF(TYPE(VLOOKUP(C64,'KO8'!$D$4:$D$17,1,0))&lt;4,8,999)</f>
        <v>999</v>
      </c>
      <c r="K64" s="333">
        <f ca="1">IF(TYPE(VLOOKUP(C64,'KO4'!$D$4:$D$9,1,0))&lt;4,4,999)</f>
        <v>999</v>
      </c>
      <c r="M64" s="334">
        <v>62</v>
      </c>
      <c r="O64" s="333">
        <f t="shared" ca="1" si="8"/>
        <v>0</v>
      </c>
      <c r="P64" s="333">
        <f t="shared" ca="1" si="9"/>
        <v>0</v>
      </c>
      <c r="Q64" s="333">
        <f t="shared" ca="1" si="26"/>
        <v>2</v>
      </c>
      <c r="R64" s="333">
        <f t="shared" ca="1" si="27"/>
        <v>0</v>
      </c>
      <c r="S64" s="333">
        <f t="shared" ca="1" si="10"/>
        <v>16</v>
      </c>
      <c r="T64" s="333">
        <f t="shared" ca="1" si="11"/>
        <v>0</v>
      </c>
      <c r="U64" s="415">
        <f t="shared" si="25"/>
        <v>62</v>
      </c>
      <c r="V64" s="415" t="s">
        <v>2005</v>
      </c>
      <c r="W64" s="441" t="str">
        <f ca="1">IF($V64="","",CONCATENATE(TEXT($O64,"0"),IF(Start.listina!$Y$5="","",TEXT(500+$P64,"0000")),IF(Start.listina!$Y$6="","",CHOOSE(Start.listina!$Y$7,TEXT($Q64,"00"),CONCATENATE(TEXT($Q64,"00"),TEXT($S64,"000")), TEXT($R64,"00"))),TEXT(500+$P64,"0000"),IF(Start.listina!$Y$8="","",TEXT($T64,"0")),TEXT(999999*RAND(),"000000")))</f>
        <v/>
      </c>
      <c r="X64" s="417">
        <f t="shared" si="12"/>
        <v>62</v>
      </c>
      <c r="Y64" s="415">
        <f t="shared" ca="1" si="28"/>
        <v>0</v>
      </c>
      <c r="Z64" s="333">
        <f t="shared" ca="1" si="13"/>
        <v>51</v>
      </c>
      <c r="AA64" s="333" t="str">
        <f t="shared" ca="1" si="14"/>
        <v/>
      </c>
      <c r="AB64" s="333" t="str">
        <f t="shared" ca="1" si="15"/>
        <v/>
      </c>
      <c r="AC64" s="333" t="str">
        <f t="shared" ca="1" si="16"/>
        <v/>
      </c>
      <c r="AD64" s="333" t="str">
        <f t="shared" ca="1" si="17"/>
        <v/>
      </c>
      <c r="AE64" s="333" t="str">
        <f t="shared" ca="1" si="18"/>
        <v/>
      </c>
      <c r="AG64" s="333">
        <f ca="1">IF(TYPE(VLOOKUP($A64,'1.kolo'!$L$3:$L$66,1,0))&gt;3,VLOOKUP($A64,'1.kolo'!$K$3:$L$66,2,0),VLOOKUP($A64,'1.kolo'!$L$3:$O$66,4,0))</f>
        <v>51</v>
      </c>
      <c r="AH64" s="333">
        <f ca="1">IF(TYPE(VLOOKUP($A64,'1.kolo'!$L$3:$L$66,1,0))&gt;3,VLOOKUP($A64,'1.kolo'!$O$3:$Q$66,2,0),VLOOKUP($A64,'1.kolo'!$L$3:$N$66,2,0))</f>
        <v>0</v>
      </c>
      <c r="AI64" s="333">
        <f ca="1">IF(TYPE(VLOOKUP($A64,'1.kolo'!$L$3:$L$66,1,0))&gt;3,VLOOKUP($A64,'1.kolo'!$O$3:$Q$66,3,0),VLOOKUP($A64,'1.kolo'!$L$3:$N$66,3,0))</f>
        <v>0</v>
      </c>
      <c r="AJ64" s="333">
        <f t="shared" ca="1" si="19"/>
        <v>0</v>
      </c>
      <c r="AK64" s="333">
        <v>62</v>
      </c>
      <c r="AL64" s="442"/>
      <c r="AP64" s="333" t="str">
        <f ca="1">IF(TYPE(VLOOKUP($A64,'2.kolo'!$L$3:$L$66,1,0))&gt;3,IF(TYPE(VLOOKUP($A64,'2.kolo'!$K$3:$L$66,2,0))&gt;3,0,VLOOKUP($A64,'2.kolo'!$K$3:$L$66,2,0)),VLOOKUP($A64,'2.kolo'!$L$3:$O$66,4,0))</f>
        <v/>
      </c>
      <c r="AQ64" s="333">
        <f ca="1">IF(TYPE(VLOOKUP($A64,'2.kolo'!$L$3:$L$66,1,0))&gt;3,IF(TYPE(VLOOKUP($A64,'2.kolo'!$O$3:$Q$66,2,0))&gt;3,0,VLOOKUP($A64,'2.kolo'!$O$3:$Q$66,2,0)),VLOOKUP($A64,'2.kolo'!$L$3:$N$66,2,0))</f>
        <v>0</v>
      </c>
      <c r="AR64" s="333">
        <f ca="1">IF(TYPE(VLOOKUP($A64,'2.kolo'!$L$3:$L$66,1,0))&gt;3,IF(TYPE(VLOOKUP($A64,'2.kolo'!$O$3:$Q$66,3,0))&gt;3,0,VLOOKUP($A64,'2.kolo'!$O$3:$Q$66,3,0)),VLOOKUP($A64,'2.kolo'!$L$3:$N$66,3,0))</f>
        <v>0</v>
      </c>
      <c r="AS64" s="333">
        <f t="shared" ca="1" si="20"/>
        <v>0</v>
      </c>
      <c r="AT64" s="415" t="s">
        <v>2005</v>
      </c>
      <c r="AU64" s="442" t="str">
        <f ca="1">IF(AT64="","",CONCATENATE(TEXT($O64,"0"),IF(Start.listina!$Y$5="","",TEXT(500+$P64,"000")),TEXT(999999*RAND(),"000000")))</f>
        <v/>
      </c>
      <c r="AV64" s="333">
        <f t="shared" ca="1" si="29"/>
        <v>0</v>
      </c>
      <c r="AY64" s="333" t="str">
        <f ca="1">IF(TYPE(VLOOKUP($A64,'3.kolo'!$L$3:$L$66,1,0))&gt;3,IF(TYPE(VLOOKUP($A64,'3.kolo'!$K$3:$L$66,2,0))&gt;3,0,VLOOKUP($A64,'3.kolo'!$K$3:$L$66,2,0)),VLOOKUP($A64,'3.kolo'!$L$3:$O$66,4,0))</f>
        <v/>
      </c>
      <c r="AZ64" s="333">
        <f ca="1">IF(TYPE(VLOOKUP($A64,'3.kolo'!$L$3:$L$66,1,0))&gt;3,IF(TYPE(VLOOKUP($A64,'3.kolo'!$O$3:$Q$66,2,0))&gt;3,0,VLOOKUP($A64,'3.kolo'!$O$3:$Q$66,2,0)),VLOOKUP($A64,'3.kolo'!$L$3:$N$66,2,0))</f>
        <v>0</v>
      </c>
      <c r="BA64" s="333">
        <f ca="1">IF(TYPE(VLOOKUP($A64,'3.kolo'!$L$3:$L$66,1,0))&gt;3,IF(TYPE(VLOOKUP($A64,'3.kolo'!$O$3:$Q$66,3,0))&gt;3,0,VLOOKUP($A64,'3.kolo'!$O$3:$Q$66,3,0)),VLOOKUP($A64,'3.kolo'!$L$3:$N$66,3,0))</f>
        <v>0</v>
      </c>
      <c r="BB64" s="333">
        <f t="shared" ca="1" si="21"/>
        <v>0</v>
      </c>
      <c r="BC64" s="415" t="s">
        <v>2005</v>
      </c>
      <c r="BD64" s="442" t="str">
        <f ca="1">IF(BC64="","",CONCATENATE(TEXT($O64,"0"),IF(Start.listina!$Y$5="","",TEXT(500+$P64,"000")),TEXT(999999*RAND(),"000000")))</f>
        <v/>
      </c>
      <c r="BE64" s="333">
        <f t="shared" ca="1" si="30"/>
        <v>0</v>
      </c>
      <c r="BH64" s="333" t="str">
        <f ca="1">IF(TYPE(VLOOKUP($A64,'4.kolo'!$L$3:$L$66,1,0))&gt;3,IF(TYPE(VLOOKUP($A64,'4.kolo'!$K$3:$L$66,2,0))&gt;3,0,VLOOKUP($A64,'4.kolo'!$K$3:$L$66,2,0)),VLOOKUP($A64,'4.kolo'!$L$3:$O$66,4,0))</f>
        <v/>
      </c>
      <c r="BI64" s="333">
        <f ca="1">IF(TYPE(VLOOKUP($A64,'4.kolo'!$L$3:$L$66,1,0))&gt;3,IF(TYPE(VLOOKUP($A64,'4.kolo'!$O$3:$Q$66,2,0))&gt;3,0,VLOOKUP($A64,'4.kolo'!$O$3:$Q$66,2,0)),VLOOKUP($A64,'4.kolo'!$L$3:$N$66,2,0))</f>
        <v>0</v>
      </c>
      <c r="BJ64" s="333">
        <f ca="1">IF(TYPE(VLOOKUP($A64,'4.kolo'!$L$3:$L$66,1,0))&gt;3,IF(TYPE(VLOOKUP($A64,'4.kolo'!$O$3:$Q$66,3,0))&gt;3,0,VLOOKUP($A64,'4.kolo'!$O$3:$Q$66,3,0)),VLOOKUP($A64,'4.kolo'!$L$3:$N$66,3,0))</f>
        <v>0</v>
      </c>
      <c r="BK64" s="333">
        <f t="shared" ca="1" si="22"/>
        <v>0</v>
      </c>
      <c r="BL64" s="415" t="s">
        <v>2005</v>
      </c>
      <c r="BM64" s="442" t="str">
        <f ca="1">IF(BL64="","",CONCATENATE(TEXT($O64,"0"),IF(Start.listina!$Y$5="","",TEXT(500+$P64,"000")),TEXT(999999*RAND(),"000000")))</f>
        <v/>
      </c>
      <c r="BN64" s="333">
        <f t="shared" ca="1" si="31"/>
        <v>0</v>
      </c>
      <c r="BQ64" s="333" t="str">
        <f ca="1">IF(TYPE(VLOOKUP($A64,'5.kolo'!$L$3:$L$66,1,0))&gt;3,IF(TYPE(VLOOKUP($A64,'5.kolo'!$K$3:$L$66,2,0))&gt;3,0,VLOOKUP($A64,'5.kolo'!$K$3:$L$66,2,0)),VLOOKUP($A64,'5.kolo'!$L$3:$O$66,4,0))</f>
        <v/>
      </c>
      <c r="BR64" s="333">
        <f ca="1">IF(TYPE(VLOOKUP($A64,'5.kolo'!$L$3:$L$66,1,0))&gt;3,IF(TYPE(VLOOKUP($A64,'5.kolo'!$O$3:$Q$66,2,0))&gt;3,0,VLOOKUP($A64,'5.kolo'!$O$3:$Q$66,2,0)),VLOOKUP($A64,'5.kolo'!$L$3:$N$66,2,0))</f>
        <v>0</v>
      </c>
      <c r="BS64" s="333">
        <f ca="1">IF(TYPE(VLOOKUP($A64,'5.kolo'!$L$3:$L$66,1,0))&gt;3,IF(TYPE(VLOOKUP($A64,'5.kolo'!$O$3:$Q$66,3,0))&gt;3,0,VLOOKUP($A64,'5.kolo'!$O$3:$Q$66,3,0)),VLOOKUP($A64,'5.kolo'!$L$3:$N$66,3,0))</f>
        <v>0</v>
      </c>
      <c r="BT64" s="333">
        <f t="shared" ca="1" si="23"/>
        <v>0</v>
      </c>
      <c r="BU64" s="415"/>
      <c r="BV64" s="442" t="str">
        <f ca="1">IF(BU64="","",CONCATENATE(TEXT($O64,"0"),IF(Start.listina!$Y$5="","",TEXT(500+$P64,"000")),TEXT(999999*RAND(),"000000")))</f>
        <v/>
      </c>
      <c r="BW64" s="333">
        <f t="shared" ca="1" si="32"/>
        <v>0</v>
      </c>
      <c r="BZ64" s="333" t="str">
        <f ca="1">IF(TYPE(VLOOKUP($A64,'6.kolo'!$L$3:$L$66,1,0))&gt;3,IF(TYPE(VLOOKUP($A64,'6.kolo'!$K$3:$L$66,2,0))&gt;3,0,VLOOKUP($A64,'6.kolo'!$K$3:$L$66,2,0)),VLOOKUP($A64,'6.kolo'!$L$3:$O$66,4,0))</f>
        <v/>
      </c>
      <c r="CA64" s="333">
        <f ca="1">IF(TYPE(VLOOKUP($A64,'6.kolo'!$L$3:$L$66,1,0))&gt;3,IF(TYPE(VLOOKUP($A64,'6.kolo'!$O$3:$Q$66,2,0))&gt;3,0,VLOOKUP($A64,'6.kolo'!$O$3:$Q$66,2,0)),VLOOKUP($A64,'6.kolo'!$L$3:$N$66,2,0))</f>
        <v>0</v>
      </c>
      <c r="CB64" s="333">
        <f ca="1">IF(TYPE(VLOOKUP($A64,'6.kolo'!$L$3:$L$66,1,0))&gt;3,IF(TYPE(VLOOKUP($A64,'6.kolo'!$O$3:$Q$66,3,0))&gt;3,0,VLOOKUP($A64,'6.kolo'!$O$3:$Q$66,3,0)),VLOOKUP($A64,'6.kolo'!$L$3:$N$66,3,0))</f>
        <v>0</v>
      </c>
      <c r="CC64" s="333">
        <f t="shared" ca="1" si="24"/>
        <v>0</v>
      </c>
      <c r="CD64" s="415"/>
      <c r="CE64" s="442" t="str">
        <f ca="1">IF(CD64="","",CONCATENATE(TEXT($O64,"0"),IF(Start.listina!$Y$5="","",TEXT(500+$P64,"000")),TEXT(999999*RAND(),"000000")))</f>
        <v/>
      </c>
      <c r="CF64" s="333">
        <f t="shared" ca="1" si="33"/>
        <v>0</v>
      </c>
    </row>
    <row r="65" spans="1:84" x14ac:dyDescent="0.25">
      <c r="A65" s="333" t="str">
        <f>IF(OR(Start.listina!H73&gt;Start.listina!$K$7,Start.listina!G73=TRUE),"",Start.listina!H73)</f>
        <v/>
      </c>
      <c r="B65" s="333" t="str">
        <f>IF($A65&gt;Start.listina!$K$7,"",INT(($A65-1)/Start.listina!$O$7)+1)</f>
        <v/>
      </c>
      <c r="C65" s="439" t="str">
        <f>IF(OR(Start.listina!H73&gt;Start.listina!$K$7,Start.listina!G73=TRUE)," - ",Start.listina!AL73)</f>
        <v xml:space="preserve"> - </v>
      </c>
      <c r="D65" s="333" t="str">
        <f>IF(OR(A65&gt;Start.listina!$K$7,TYPE(VLOOKUP(A65,$V$3:$X$130,3,0))&gt;3),"",VLOOKUP(A65,$V$3:$X$130,3,0))</f>
        <v/>
      </c>
      <c r="E65" s="440" t="str">
        <f>IF(A65&gt;Start.listina!$K$7,"",IF(MIN(F65:K65)&gt;Start.listina!$Y$4,D65,MIN(F65:K65)))</f>
        <v/>
      </c>
      <c r="F65" s="333">
        <f ca="1">IF(TYPE(VLOOKUP(C65,Konečné_pořadí_1_16!$B$2:$D$17,3,0))&lt;4,VLOOKUP(C65,Konečné_pořadí_1_16!$B$2:$D$17,3,0),999)</f>
        <v>999</v>
      </c>
      <c r="G65" s="333">
        <f ca="1">IF(TYPE(VLOOKUP(C65,'KO64'!$D$4:$D$129,1,0))&lt;4,64,999)</f>
        <v>64</v>
      </c>
      <c r="H65" s="333">
        <f ca="1">IF(TYPE(VLOOKUP(C65,'KO32'!$D$4:$D$65,1,0))&lt;4,32,999)</f>
        <v>32</v>
      </c>
      <c r="I65" s="333">
        <f ca="1">IF(TYPE(VLOOKUP(C65,'KO16'!$D$4:$D$33,1,0))&lt;4,16,999)</f>
        <v>999</v>
      </c>
      <c r="J65" s="333">
        <f ca="1">IF(TYPE(VLOOKUP(C65,'KO8'!$D$4:$D$17,1,0))&lt;4,8,999)</f>
        <v>999</v>
      </c>
      <c r="K65" s="333">
        <f ca="1">IF(TYPE(VLOOKUP(C65,'KO4'!$D$4:$D$9,1,0))&lt;4,4,999)</f>
        <v>999</v>
      </c>
      <c r="M65" s="334">
        <v>63</v>
      </c>
      <c r="O65" s="333">
        <f t="shared" ca="1" si="8"/>
        <v>0</v>
      </c>
      <c r="P65" s="333">
        <f t="shared" ca="1" si="9"/>
        <v>0</v>
      </c>
      <c r="Q65" s="333">
        <f t="shared" ca="1" si="26"/>
        <v>2</v>
      </c>
      <c r="R65" s="333">
        <f t="shared" ca="1" si="27"/>
        <v>0</v>
      </c>
      <c r="S65" s="333">
        <f t="shared" ca="1" si="10"/>
        <v>16</v>
      </c>
      <c r="T65" s="333">
        <f t="shared" ca="1" si="11"/>
        <v>0</v>
      </c>
      <c r="U65" s="415">
        <f t="shared" si="25"/>
        <v>63</v>
      </c>
      <c r="V65" s="415" t="s">
        <v>2005</v>
      </c>
      <c r="W65" s="441" t="str">
        <f ca="1">IF($V65="","",CONCATENATE(TEXT($O65,"0"),IF(Start.listina!$Y$5="","",TEXT(500+$P65,"0000")),IF(Start.listina!$Y$6="","",CHOOSE(Start.listina!$Y$7,TEXT($Q65,"00"),CONCATENATE(TEXT($Q65,"00"),TEXT($S65,"000")), TEXT($R65,"00"))),TEXT(500+$P65,"0000"),IF(Start.listina!$Y$8="","",TEXT($T65,"0")),TEXT(999999*RAND(),"000000")))</f>
        <v/>
      </c>
      <c r="X65" s="417">
        <f t="shared" si="12"/>
        <v>63</v>
      </c>
      <c r="Y65" s="415">
        <f t="shared" ca="1" si="28"/>
        <v>0</v>
      </c>
      <c r="Z65" s="333">
        <f t="shared" ca="1" si="13"/>
        <v>51</v>
      </c>
      <c r="AA65" s="333" t="str">
        <f t="shared" ca="1" si="14"/>
        <v/>
      </c>
      <c r="AB65" s="333" t="str">
        <f t="shared" ca="1" si="15"/>
        <v/>
      </c>
      <c r="AC65" s="333" t="str">
        <f t="shared" ca="1" si="16"/>
        <v/>
      </c>
      <c r="AD65" s="333" t="str">
        <f t="shared" ca="1" si="17"/>
        <v/>
      </c>
      <c r="AE65" s="333" t="str">
        <f t="shared" ca="1" si="18"/>
        <v/>
      </c>
      <c r="AG65" s="333">
        <f ca="1">IF(TYPE(VLOOKUP($A65,'1.kolo'!$L$3:$L$66,1,0))&gt;3,VLOOKUP($A65,'1.kolo'!$K$3:$L$66,2,0),VLOOKUP($A65,'1.kolo'!$L$3:$O$66,4,0))</f>
        <v>51</v>
      </c>
      <c r="AH65" s="333">
        <f ca="1">IF(TYPE(VLOOKUP($A65,'1.kolo'!$L$3:$L$66,1,0))&gt;3,VLOOKUP($A65,'1.kolo'!$O$3:$Q$66,2,0),VLOOKUP($A65,'1.kolo'!$L$3:$N$66,2,0))</f>
        <v>0</v>
      </c>
      <c r="AI65" s="333">
        <f ca="1">IF(TYPE(VLOOKUP($A65,'1.kolo'!$L$3:$L$66,1,0))&gt;3,VLOOKUP($A65,'1.kolo'!$O$3:$Q$66,3,0),VLOOKUP($A65,'1.kolo'!$L$3:$N$66,3,0))</f>
        <v>0</v>
      </c>
      <c r="AJ65" s="333">
        <f t="shared" ca="1" si="19"/>
        <v>0</v>
      </c>
      <c r="AK65" s="333">
        <v>63</v>
      </c>
      <c r="AL65" s="442"/>
      <c r="AP65" s="333" t="str">
        <f ca="1">IF(TYPE(VLOOKUP($A65,'2.kolo'!$L$3:$L$66,1,0))&gt;3,IF(TYPE(VLOOKUP($A65,'2.kolo'!$K$3:$L$66,2,0))&gt;3,0,VLOOKUP($A65,'2.kolo'!$K$3:$L$66,2,0)),VLOOKUP($A65,'2.kolo'!$L$3:$O$66,4,0))</f>
        <v/>
      </c>
      <c r="AQ65" s="333">
        <f ca="1">IF(TYPE(VLOOKUP($A65,'2.kolo'!$L$3:$L$66,1,0))&gt;3,IF(TYPE(VLOOKUP($A65,'2.kolo'!$O$3:$Q$66,2,0))&gt;3,0,VLOOKUP($A65,'2.kolo'!$O$3:$Q$66,2,0)),VLOOKUP($A65,'2.kolo'!$L$3:$N$66,2,0))</f>
        <v>0</v>
      </c>
      <c r="AR65" s="333">
        <f ca="1">IF(TYPE(VLOOKUP($A65,'2.kolo'!$L$3:$L$66,1,0))&gt;3,IF(TYPE(VLOOKUP($A65,'2.kolo'!$O$3:$Q$66,3,0))&gt;3,0,VLOOKUP($A65,'2.kolo'!$O$3:$Q$66,3,0)),VLOOKUP($A65,'2.kolo'!$L$3:$N$66,3,0))</f>
        <v>0</v>
      </c>
      <c r="AS65" s="333">
        <f t="shared" ca="1" si="20"/>
        <v>0</v>
      </c>
      <c r="AT65" s="415" t="s">
        <v>2005</v>
      </c>
      <c r="AU65" s="442" t="str">
        <f ca="1">IF(AT65="","",CONCATENATE(TEXT($O65,"0"),IF(Start.listina!$Y$5="","",TEXT(500+$P65,"000")),TEXT(999999*RAND(),"000000")))</f>
        <v/>
      </c>
      <c r="AV65" s="333">
        <f t="shared" ca="1" si="29"/>
        <v>0</v>
      </c>
      <c r="AY65" s="333" t="str">
        <f ca="1">IF(TYPE(VLOOKUP($A65,'3.kolo'!$L$3:$L$66,1,0))&gt;3,IF(TYPE(VLOOKUP($A65,'3.kolo'!$K$3:$L$66,2,0))&gt;3,0,VLOOKUP($A65,'3.kolo'!$K$3:$L$66,2,0)),VLOOKUP($A65,'3.kolo'!$L$3:$O$66,4,0))</f>
        <v/>
      </c>
      <c r="AZ65" s="333">
        <f ca="1">IF(TYPE(VLOOKUP($A65,'3.kolo'!$L$3:$L$66,1,0))&gt;3,IF(TYPE(VLOOKUP($A65,'3.kolo'!$O$3:$Q$66,2,0))&gt;3,0,VLOOKUP($A65,'3.kolo'!$O$3:$Q$66,2,0)),VLOOKUP($A65,'3.kolo'!$L$3:$N$66,2,0))</f>
        <v>0</v>
      </c>
      <c r="BA65" s="333">
        <f ca="1">IF(TYPE(VLOOKUP($A65,'3.kolo'!$L$3:$L$66,1,0))&gt;3,IF(TYPE(VLOOKUP($A65,'3.kolo'!$O$3:$Q$66,3,0))&gt;3,0,VLOOKUP($A65,'3.kolo'!$O$3:$Q$66,3,0)),VLOOKUP($A65,'3.kolo'!$L$3:$N$66,3,0))</f>
        <v>0</v>
      </c>
      <c r="BB65" s="333">
        <f t="shared" ca="1" si="21"/>
        <v>0</v>
      </c>
      <c r="BC65" s="415" t="s">
        <v>2005</v>
      </c>
      <c r="BD65" s="442" t="str">
        <f ca="1">IF(BC65="","",CONCATENATE(TEXT($O65,"0"),IF(Start.listina!$Y$5="","",TEXT(500+$P65,"000")),TEXT(999999*RAND(),"000000")))</f>
        <v/>
      </c>
      <c r="BE65" s="333">
        <f t="shared" ca="1" si="30"/>
        <v>0</v>
      </c>
      <c r="BH65" s="333" t="str">
        <f ca="1">IF(TYPE(VLOOKUP($A65,'4.kolo'!$L$3:$L$66,1,0))&gt;3,IF(TYPE(VLOOKUP($A65,'4.kolo'!$K$3:$L$66,2,0))&gt;3,0,VLOOKUP($A65,'4.kolo'!$K$3:$L$66,2,0)),VLOOKUP($A65,'4.kolo'!$L$3:$O$66,4,0))</f>
        <v/>
      </c>
      <c r="BI65" s="333">
        <f ca="1">IF(TYPE(VLOOKUP($A65,'4.kolo'!$L$3:$L$66,1,0))&gt;3,IF(TYPE(VLOOKUP($A65,'4.kolo'!$O$3:$Q$66,2,0))&gt;3,0,VLOOKUP($A65,'4.kolo'!$O$3:$Q$66,2,0)),VLOOKUP($A65,'4.kolo'!$L$3:$N$66,2,0))</f>
        <v>0</v>
      </c>
      <c r="BJ65" s="333">
        <f ca="1">IF(TYPE(VLOOKUP($A65,'4.kolo'!$L$3:$L$66,1,0))&gt;3,IF(TYPE(VLOOKUP($A65,'4.kolo'!$O$3:$Q$66,3,0))&gt;3,0,VLOOKUP($A65,'4.kolo'!$O$3:$Q$66,3,0)),VLOOKUP($A65,'4.kolo'!$L$3:$N$66,3,0))</f>
        <v>0</v>
      </c>
      <c r="BK65" s="333">
        <f t="shared" ca="1" si="22"/>
        <v>0</v>
      </c>
      <c r="BL65" s="415" t="s">
        <v>2005</v>
      </c>
      <c r="BM65" s="442" t="str">
        <f ca="1">IF(BL65="","",CONCATENATE(TEXT($O65,"0"),IF(Start.listina!$Y$5="","",TEXT(500+$P65,"000")),TEXT(999999*RAND(),"000000")))</f>
        <v/>
      </c>
      <c r="BN65" s="333">
        <f t="shared" ca="1" si="31"/>
        <v>0</v>
      </c>
      <c r="BQ65" s="333" t="str">
        <f ca="1">IF(TYPE(VLOOKUP($A65,'5.kolo'!$L$3:$L$66,1,0))&gt;3,IF(TYPE(VLOOKUP($A65,'5.kolo'!$K$3:$L$66,2,0))&gt;3,0,VLOOKUP($A65,'5.kolo'!$K$3:$L$66,2,0)),VLOOKUP($A65,'5.kolo'!$L$3:$O$66,4,0))</f>
        <v/>
      </c>
      <c r="BR65" s="333">
        <f ca="1">IF(TYPE(VLOOKUP($A65,'5.kolo'!$L$3:$L$66,1,0))&gt;3,IF(TYPE(VLOOKUP($A65,'5.kolo'!$O$3:$Q$66,2,0))&gt;3,0,VLOOKUP($A65,'5.kolo'!$O$3:$Q$66,2,0)),VLOOKUP($A65,'5.kolo'!$L$3:$N$66,2,0))</f>
        <v>0</v>
      </c>
      <c r="BS65" s="333">
        <f ca="1">IF(TYPE(VLOOKUP($A65,'5.kolo'!$L$3:$L$66,1,0))&gt;3,IF(TYPE(VLOOKUP($A65,'5.kolo'!$O$3:$Q$66,3,0))&gt;3,0,VLOOKUP($A65,'5.kolo'!$O$3:$Q$66,3,0)),VLOOKUP($A65,'5.kolo'!$L$3:$N$66,3,0))</f>
        <v>0</v>
      </c>
      <c r="BT65" s="333">
        <f t="shared" ca="1" si="23"/>
        <v>0</v>
      </c>
      <c r="BU65" s="415"/>
      <c r="BV65" s="442" t="str">
        <f ca="1">IF(BU65="","",CONCATENATE(TEXT($O65,"0"),IF(Start.listina!$Y$5="","",TEXT(500+$P65,"000")),TEXT(999999*RAND(),"000000")))</f>
        <v/>
      </c>
      <c r="BW65" s="333">
        <f t="shared" ca="1" si="32"/>
        <v>0</v>
      </c>
      <c r="BZ65" s="333" t="str">
        <f ca="1">IF(TYPE(VLOOKUP($A65,'6.kolo'!$L$3:$L$66,1,0))&gt;3,IF(TYPE(VLOOKUP($A65,'6.kolo'!$K$3:$L$66,2,0))&gt;3,0,VLOOKUP($A65,'6.kolo'!$K$3:$L$66,2,0)),VLOOKUP($A65,'6.kolo'!$L$3:$O$66,4,0))</f>
        <v/>
      </c>
      <c r="CA65" s="333">
        <f ca="1">IF(TYPE(VLOOKUP($A65,'6.kolo'!$L$3:$L$66,1,0))&gt;3,IF(TYPE(VLOOKUP($A65,'6.kolo'!$O$3:$Q$66,2,0))&gt;3,0,VLOOKUP($A65,'6.kolo'!$O$3:$Q$66,2,0)),VLOOKUP($A65,'6.kolo'!$L$3:$N$66,2,0))</f>
        <v>0</v>
      </c>
      <c r="CB65" s="333">
        <f ca="1">IF(TYPE(VLOOKUP($A65,'6.kolo'!$L$3:$L$66,1,0))&gt;3,IF(TYPE(VLOOKUP($A65,'6.kolo'!$O$3:$Q$66,3,0))&gt;3,0,VLOOKUP($A65,'6.kolo'!$O$3:$Q$66,3,0)),VLOOKUP($A65,'6.kolo'!$L$3:$N$66,3,0))</f>
        <v>0</v>
      </c>
      <c r="CC65" s="333">
        <f t="shared" ca="1" si="24"/>
        <v>0</v>
      </c>
      <c r="CD65" s="415"/>
      <c r="CE65" s="442" t="str">
        <f ca="1">IF(CD65="","",CONCATENATE(TEXT($O65,"0"),IF(Start.listina!$Y$5="","",TEXT(500+$P65,"000")),TEXT(999999*RAND(),"000000")))</f>
        <v/>
      </c>
      <c r="CF65" s="333">
        <f t="shared" ca="1" si="33"/>
        <v>0</v>
      </c>
    </row>
    <row r="66" spans="1:84" x14ac:dyDescent="0.25">
      <c r="A66" s="333" t="str">
        <f>IF(OR(Start.listina!H74&gt;Start.listina!$K$7,Start.listina!G74=TRUE),"",Start.listina!H74)</f>
        <v/>
      </c>
      <c r="B66" s="333" t="str">
        <f>IF($A66&gt;Start.listina!$K$7,"",INT(($A66-1)/Start.listina!$O$7)+1)</f>
        <v/>
      </c>
      <c r="C66" s="439" t="str">
        <f>IF(OR(Start.listina!H74&gt;Start.listina!$K$7,Start.listina!G74=TRUE)," - ",Start.listina!AL74)</f>
        <v xml:space="preserve"> - </v>
      </c>
      <c r="D66" s="333" t="str">
        <f>IF(OR(A66&gt;Start.listina!$K$7,TYPE(VLOOKUP(A66,$V$3:$X$130,3,0))&gt;3),"",VLOOKUP(A66,$V$3:$X$130,3,0))</f>
        <v/>
      </c>
      <c r="E66" s="440" t="str">
        <f>IF(A66&gt;Start.listina!$K$7,"",IF(MIN(F66:K66)&gt;Start.listina!$Y$4,D66,MIN(F66:K66)))</f>
        <v/>
      </c>
      <c r="F66" s="333">
        <f ca="1">IF(TYPE(VLOOKUP(C66,Konečné_pořadí_1_16!$B$2:$D$17,3,0))&lt;4,VLOOKUP(C66,Konečné_pořadí_1_16!$B$2:$D$17,3,0),999)</f>
        <v>999</v>
      </c>
      <c r="G66" s="333">
        <f ca="1">IF(TYPE(VLOOKUP(C66,'KO64'!$D$4:$D$129,1,0))&lt;4,64,999)</f>
        <v>64</v>
      </c>
      <c r="H66" s="333">
        <f ca="1">IF(TYPE(VLOOKUP(C66,'KO32'!$D$4:$D$65,1,0))&lt;4,32,999)</f>
        <v>32</v>
      </c>
      <c r="I66" s="333">
        <f ca="1">IF(TYPE(VLOOKUP(C66,'KO16'!$D$4:$D$33,1,0))&lt;4,16,999)</f>
        <v>999</v>
      </c>
      <c r="J66" s="333">
        <f ca="1">IF(TYPE(VLOOKUP(C66,'KO8'!$D$4:$D$17,1,0))&lt;4,8,999)</f>
        <v>999</v>
      </c>
      <c r="K66" s="333">
        <f ca="1">IF(TYPE(VLOOKUP(C66,'KO4'!$D$4:$D$9,1,0))&lt;4,4,999)</f>
        <v>999</v>
      </c>
      <c r="M66" s="334">
        <v>64</v>
      </c>
      <c r="O66" s="333">
        <f t="shared" ca="1" si="8"/>
        <v>0</v>
      </c>
      <c r="P66" s="333">
        <f t="shared" ca="1" si="9"/>
        <v>0</v>
      </c>
      <c r="Q66" s="333">
        <f t="shared" ca="1" si="26"/>
        <v>2</v>
      </c>
      <c r="R66" s="333">
        <f t="shared" ca="1" si="27"/>
        <v>0</v>
      </c>
      <c r="S66" s="333">
        <f t="shared" ca="1" si="10"/>
        <v>16</v>
      </c>
      <c r="T66" s="333">
        <f t="shared" ca="1" si="11"/>
        <v>0</v>
      </c>
      <c r="U66" s="415">
        <f t="shared" si="25"/>
        <v>64</v>
      </c>
      <c r="V66" s="415" t="s">
        <v>2005</v>
      </c>
      <c r="W66" s="441" t="str">
        <f ca="1">IF($V66="","",CONCATENATE(TEXT($O66,"0"),IF(Start.listina!$Y$5="","",TEXT(500+$P66,"0000")),IF(Start.listina!$Y$6="","",CHOOSE(Start.listina!$Y$7,TEXT($Q66,"00"),CONCATENATE(TEXT($Q66,"00"),TEXT($S66,"000")), TEXT($R66,"00"))),TEXT(500+$P66,"0000"),IF(Start.listina!$Y$8="","",TEXT($T66,"0")),TEXT(999999*RAND(),"000000")))</f>
        <v/>
      </c>
      <c r="X66" s="417">
        <f t="shared" si="12"/>
        <v>64</v>
      </c>
      <c r="Y66" s="415">
        <f t="shared" ca="1" si="28"/>
        <v>0</v>
      </c>
      <c r="Z66" s="333">
        <f t="shared" ca="1" si="13"/>
        <v>51</v>
      </c>
      <c r="AA66" s="333" t="str">
        <f t="shared" ca="1" si="14"/>
        <v/>
      </c>
      <c r="AB66" s="333" t="str">
        <f t="shared" ca="1" si="15"/>
        <v/>
      </c>
      <c r="AC66" s="333" t="str">
        <f t="shared" ca="1" si="16"/>
        <v/>
      </c>
      <c r="AD66" s="333" t="str">
        <f t="shared" ca="1" si="17"/>
        <v/>
      </c>
      <c r="AE66" s="333" t="str">
        <f t="shared" ca="1" si="18"/>
        <v/>
      </c>
      <c r="AG66" s="333">
        <f ca="1">IF(TYPE(VLOOKUP($A66,'1.kolo'!$L$3:$L$66,1,0))&gt;3,VLOOKUP($A66,'1.kolo'!$K$3:$L$66,2,0),VLOOKUP($A66,'1.kolo'!$L$3:$O$66,4,0))</f>
        <v>51</v>
      </c>
      <c r="AH66" s="333">
        <f ca="1">IF(TYPE(VLOOKUP($A66,'1.kolo'!$L$3:$L$66,1,0))&gt;3,VLOOKUP($A66,'1.kolo'!$O$3:$Q$66,2,0),VLOOKUP($A66,'1.kolo'!$L$3:$N$66,2,0))</f>
        <v>0</v>
      </c>
      <c r="AI66" s="333">
        <f ca="1">IF(TYPE(VLOOKUP($A66,'1.kolo'!$L$3:$L$66,1,0))&gt;3,VLOOKUP($A66,'1.kolo'!$O$3:$Q$66,3,0),VLOOKUP($A66,'1.kolo'!$L$3:$N$66,3,0))</f>
        <v>0</v>
      </c>
      <c r="AJ66" s="333">
        <f t="shared" ca="1" si="19"/>
        <v>0</v>
      </c>
      <c r="AK66" s="333">
        <v>64</v>
      </c>
      <c r="AL66" s="442"/>
      <c r="AP66" s="333" t="str">
        <f ca="1">IF(TYPE(VLOOKUP($A66,'2.kolo'!$L$3:$L$66,1,0))&gt;3,IF(TYPE(VLOOKUP($A66,'2.kolo'!$K$3:$L$66,2,0))&gt;3,0,VLOOKUP($A66,'2.kolo'!$K$3:$L$66,2,0)),VLOOKUP($A66,'2.kolo'!$L$3:$O$66,4,0))</f>
        <v/>
      </c>
      <c r="AQ66" s="333">
        <f ca="1">IF(TYPE(VLOOKUP($A66,'2.kolo'!$L$3:$L$66,1,0))&gt;3,IF(TYPE(VLOOKUP($A66,'2.kolo'!$O$3:$Q$66,2,0))&gt;3,0,VLOOKUP($A66,'2.kolo'!$O$3:$Q$66,2,0)),VLOOKUP($A66,'2.kolo'!$L$3:$N$66,2,0))</f>
        <v>0</v>
      </c>
      <c r="AR66" s="333">
        <f ca="1">IF(TYPE(VLOOKUP($A66,'2.kolo'!$L$3:$L$66,1,0))&gt;3,IF(TYPE(VLOOKUP($A66,'2.kolo'!$O$3:$Q$66,3,0))&gt;3,0,VLOOKUP($A66,'2.kolo'!$O$3:$Q$66,3,0)),VLOOKUP($A66,'2.kolo'!$L$3:$N$66,3,0))</f>
        <v>0</v>
      </c>
      <c r="AS66" s="333">
        <f t="shared" ca="1" si="20"/>
        <v>0</v>
      </c>
      <c r="AT66" s="415" t="s">
        <v>2005</v>
      </c>
      <c r="AU66" s="442" t="str">
        <f ca="1">IF(AT66="","",CONCATENATE(TEXT($O66,"0"),IF(Start.listina!$Y$5="","",TEXT(500+$P66,"000")),TEXT(999999*RAND(),"000000")))</f>
        <v/>
      </c>
      <c r="AV66" s="333">
        <f t="shared" ca="1" si="29"/>
        <v>0</v>
      </c>
      <c r="AY66" s="333" t="str">
        <f ca="1">IF(TYPE(VLOOKUP($A66,'3.kolo'!$L$3:$L$66,1,0))&gt;3,IF(TYPE(VLOOKUP($A66,'3.kolo'!$K$3:$L$66,2,0))&gt;3,0,VLOOKUP($A66,'3.kolo'!$K$3:$L$66,2,0)),VLOOKUP($A66,'3.kolo'!$L$3:$O$66,4,0))</f>
        <v/>
      </c>
      <c r="AZ66" s="333">
        <f ca="1">IF(TYPE(VLOOKUP($A66,'3.kolo'!$L$3:$L$66,1,0))&gt;3,IF(TYPE(VLOOKUP($A66,'3.kolo'!$O$3:$Q$66,2,0))&gt;3,0,VLOOKUP($A66,'3.kolo'!$O$3:$Q$66,2,0)),VLOOKUP($A66,'3.kolo'!$L$3:$N$66,2,0))</f>
        <v>0</v>
      </c>
      <c r="BA66" s="333">
        <f ca="1">IF(TYPE(VLOOKUP($A66,'3.kolo'!$L$3:$L$66,1,0))&gt;3,IF(TYPE(VLOOKUP($A66,'3.kolo'!$O$3:$Q$66,3,0))&gt;3,0,VLOOKUP($A66,'3.kolo'!$O$3:$Q$66,3,0)),VLOOKUP($A66,'3.kolo'!$L$3:$N$66,3,0))</f>
        <v>0</v>
      </c>
      <c r="BB66" s="333">
        <f t="shared" ca="1" si="21"/>
        <v>0</v>
      </c>
      <c r="BC66" s="415" t="s">
        <v>2005</v>
      </c>
      <c r="BD66" s="442" t="str">
        <f ca="1">IF(BC66="","",CONCATENATE(TEXT($O66,"0"),IF(Start.listina!$Y$5="","",TEXT(500+$P66,"000")),TEXT(999999*RAND(),"000000")))</f>
        <v/>
      </c>
      <c r="BE66" s="333">
        <f t="shared" ca="1" si="30"/>
        <v>0</v>
      </c>
      <c r="BH66" s="333" t="str">
        <f ca="1">IF(TYPE(VLOOKUP($A66,'4.kolo'!$L$3:$L$66,1,0))&gt;3,IF(TYPE(VLOOKUP($A66,'4.kolo'!$K$3:$L$66,2,0))&gt;3,0,VLOOKUP($A66,'4.kolo'!$K$3:$L$66,2,0)),VLOOKUP($A66,'4.kolo'!$L$3:$O$66,4,0))</f>
        <v/>
      </c>
      <c r="BI66" s="333">
        <f ca="1">IF(TYPE(VLOOKUP($A66,'4.kolo'!$L$3:$L$66,1,0))&gt;3,IF(TYPE(VLOOKUP($A66,'4.kolo'!$O$3:$Q$66,2,0))&gt;3,0,VLOOKUP($A66,'4.kolo'!$O$3:$Q$66,2,0)),VLOOKUP($A66,'4.kolo'!$L$3:$N$66,2,0))</f>
        <v>0</v>
      </c>
      <c r="BJ66" s="333">
        <f ca="1">IF(TYPE(VLOOKUP($A66,'4.kolo'!$L$3:$L$66,1,0))&gt;3,IF(TYPE(VLOOKUP($A66,'4.kolo'!$O$3:$Q$66,3,0))&gt;3,0,VLOOKUP($A66,'4.kolo'!$O$3:$Q$66,3,0)),VLOOKUP($A66,'4.kolo'!$L$3:$N$66,3,0))</f>
        <v>0</v>
      </c>
      <c r="BK66" s="333">
        <f t="shared" ca="1" si="22"/>
        <v>0</v>
      </c>
      <c r="BL66" s="415" t="s">
        <v>2005</v>
      </c>
      <c r="BM66" s="442" t="str">
        <f ca="1">IF(BL66="","",CONCATENATE(TEXT($O66,"0"),IF(Start.listina!$Y$5="","",TEXT(500+$P66,"000")),TEXT(999999*RAND(),"000000")))</f>
        <v/>
      </c>
      <c r="BN66" s="333">
        <f t="shared" ca="1" si="31"/>
        <v>0</v>
      </c>
      <c r="BQ66" s="333" t="str">
        <f ca="1">IF(TYPE(VLOOKUP($A66,'5.kolo'!$L$3:$L$66,1,0))&gt;3,IF(TYPE(VLOOKUP($A66,'5.kolo'!$K$3:$L$66,2,0))&gt;3,0,VLOOKUP($A66,'5.kolo'!$K$3:$L$66,2,0)),VLOOKUP($A66,'5.kolo'!$L$3:$O$66,4,0))</f>
        <v/>
      </c>
      <c r="BR66" s="333">
        <f ca="1">IF(TYPE(VLOOKUP($A66,'5.kolo'!$L$3:$L$66,1,0))&gt;3,IF(TYPE(VLOOKUP($A66,'5.kolo'!$O$3:$Q$66,2,0))&gt;3,0,VLOOKUP($A66,'5.kolo'!$O$3:$Q$66,2,0)),VLOOKUP($A66,'5.kolo'!$L$3:$N$66,2,0))</f>
        <v>0</v>
      </c>
      <c r="BS66" s="333">
        <f ca="1">IF(TYPE(VLOOKUP($A66,'5.kolo'!$L$3:$L$66,1,0))&gt;3,IF(TYPE(VLOOKUP($A66,'5.kolo'!$O$3:$Q$66,3,0))&gt;3,0,VLOOKUP($A66,'5.kolo'!$O$3:$Q$66,3,0)),VLOOKUP($A66,'5.kolo'!$L$3:$N$66,3,0))</f>
        <v>0</v>
      </c>
      <c r="BT66" s="333">
        <f t="shared" ca="1" si="23"/>
        <v>0</v>
      </c>
      <c r="BU66" s="415"/>
      <c r="BV66" s="442" t="str">
        <f ca="1">IF(BU66="","",CONCATENATE(TEXT($O66,"0"),IF(Start.listina!$Y$5="","",TEXT(500+$P66,"000")),TEXT(999999*RAND(),"000000")))</f>
        <v/>
      </c>
      <c r="BW66" s="333">
        <f t="shared" ca="1" si="32"/>
        <v>0</v>
      </c>
      <c r="BZ66" s="333" t="str">
        <f ca="1">IF(TYPE(VLOOKUP($A66,'6.kolo'!$L$3:$L$66,1,0))&gt;3,IF(TYPE(VLOOKUP($A66,'6.kolo'!$K$3:$L$66,2,0))&gt;3,0,VLOOKUP($A66,'6.kolo'!$K$3:$L$66,2,0)),VLOOKUP($A66,'6.kolo'!$L$3:$O$66,4,0))</f>
        <v/>
      </c>
      <c r="CA66" s="333">
        <f ca="1">IF(TYPE(VLOOKUP($A66,'6.kolo'!$L$3:$L$66,1,0))&gt;3,IF(TYPE(VLOOKUP($A66,'6.kolo'!$O$3:$Q$66,2,0))&gt;3,0,VLOOKUP($A66,'6.kolo'!$O$3:$Q$66,2,0)),VLOOKUP($A66,'6.kolo'!$L$3:$N$66,2,0))</f>
        <v>0</v>
      </c>
      <c r="CB66" s="333">
        <f ca="1">IF(TYPE(VLOOKUP($A66,'6.kolo'!$L$3:$L$66,1,0))&gt;3,IF(TYPE(VLOOKUP($A66,'6.kolo'!$O$3:$Q$66,3,0))&gt;3,0,VLOOKUP($A66,'6.kolo'!$O$3:$Q$66,3,0)),VLOOKUP($A66,'6.kolo'!$L$3:$N$66,3,0))</f>
        <v>0</v>
      </c>
      <c r="CC66" s="333">
        <f t="shared" ca="1" si="24"/>
        <v>0</v>
      </c>
      <c r="CD66" s="415"/>
      <c r="CE66" s="442" t="str">
        <f ca="1">IF(CD66="","",CONCATENATE(TEXT($O66,"0"),IF(Start.listina!$Y$5="","",TEXT(500+$P66,"000")),TEXT(999999*RAND(),"000000")))</f>
        <v/>
      </c>
      <c r="CF66" s="333">
        <f t="shared" ca="1" si="33"/>
        <v>0</v>
      </c>
    </row>
    <row r="67" spans="1:84" x14ac:dyDescent="0.25">
      <c r="A67" s="333" t="str">
        <f>IF(OR(Start.listina!H75&gt;Start.listina!$K$7,Start.listina!G75=TRUE),"",Start.listina!H75)</f>
        <v/>
      </c>
      <c r="B67" s="333" t="str">
        <f>IF($A67&gt;Start.listina!$K$7,"",INT(($A67-1)/Start.listina!$O$7)+1)</f>
        <v/>
      </c>
      <c r="C67" s="439" t="str">
        <f>IF(OR(Start.listina!H75&gt;Start.listina!$K$7,Start.listina!G75=TRUE)," - ",Start.listina!AL75)</f>
        <v xml:space="preserve"> - </v>
      </c>
      <c r="D67" s="333" t="str">
        <f>IF(OR(A67&gt;Start.listina!$K$7,TYPE(VLOOKUP(A67,$V$3:$X$130,3,0))&gt;3),"",VLOOKUP(A67,$V$3:$X$130,3,0))</f>
        <v/>
      </c>
      <c r="E67" s="440" t="str">
        <f>IF(A67&gt;Start.listina!$K$7,"",IF(MIN(F67:K67)&gt;Start.listina!$Y$4,D67,MIN(F67:K67)))</f>
        <v/>
      </c>
      <c r="F67" s="333">
        <f ca="1">IF(TYPE(VLOOKUP(C67,Konečné_pořadí_1_16!$B$2:$D$17,3,0))&lt;4,VLOOKUP(C67,Konečné_pořadí_1_16!$B$2:$D$17,3,0),999)</f>
        <v>999</v>
      </c>
      <c r="G67" s="333">
        <f ca="1">IF(TYPE(VLOOKUP(C67,'KO64'!$D$4:$D$129,1,0))&lt;4,64,999)</f>
        <v>64</v>
      </c>
      <c r="H67" s="333">
        <f ca="1">IF(TYPE(VLOOKUP(C67,'KO32'!$D$4:$D$65,1,0))&lt;4,32,999)</f>
        <v>32</v>
      </c>
      <c r="I67" s="333">
        <f ca="1">IF(TYPE(VLOOKUP(C67,'KO16'!$D$4:$D$33,1,0))&lt;4,16,999)</f>
        <v>999</v>
      </c>
      <c r="J67" s="333">
        <f ca="1">IF(TYPE(VLOOKUP(C67,'KO8'!$D$4:$D$17,1,0))&lt;4,8,999)</f>
        <v>999</v>
      </c>
      <c r="K67" s="333">
        <f ca="1">IF(TYPE(VLOOKUP(C67,'KO4'!$D$4:$D$9,1,0))&lt;4,4,999)</f>
        <v>999</v>
      </c>
      <c r="M67" s="334">
        <v>65</v>
      </c>
      <c r="O67" s="333">
        <f t="shared" ca="1" si="8"/>
        <v>0</v>
      </c>
      <c r="P67" s="333">
        <f t="shared" ca="1" si="9"/>
        <v>0</v>
      </c>
      <c r="Q67" s="333">
        <f t="shared" ref="Q67:Q98" ca="1" si="34">VLOOKUP($Z67,$A$3:$O$131,15,0)+VLOOKUP($AA67,$A$3:$O$131,15,0)+VLOOKUP($AB67,$A$3:$O$131,15,0)+VLOOKUP($AC67,$A$3:$O$131,15,0)+VLOOKUP($AD67,$A$3:$O$131,15,0)+VLOOKUP($AE67,$A$3:$O$131,15,0)</f>
        <v>2</v>
      </c>
      <c r="R67" s="333">
        <f t="shared" ref="R67:R98" ca="1" si="35">IF(AH67=0,0,VLOOKUP($Z67,$A$3:$O$130,15,0))+IF(AQ67=0,0,VLOOKUP($AA67,$A$3:$O$130,15,0))+IF(AZ67=0,0,VLOOKUP($AB67,$A$3:$O$130,15,0))+IF(BI67=0,0,VLOOKUP($AC67,$A$3:$O$130,15,0))+IF(BR67=0,0,VLOOKUP($AD67,$A$3:$O$130,15,0))+IF(CA67=0,0,VLOOKUP($AE67,$A$3:$O$130,15,0))</f>
        <v>0</v>
      </c>
      <c r="S67" s="333">
        <f t="shared" ca="1" si="10"/>
        <v>16</v>
      </c>
      <c r="T67" s="333">
        <f t="shared" ca="1" si="11"/>
        <v>0</v>
      </c>
      <c r="U67" s="415">
        <f t="shared" si="25"/>
        <v>65</v>
      </c>
      <c r="V67" s="415" t="s">
        <v>2005</v>
      </c>
      <c r="W67" s="441" t="str">
        <f ca="1">IF($V67="","",CONCATENATE(TEXT($O67,"0"),IF(Start.listina!$Y$5="","",TEXT(500+$P67,"0000")),IF(Start.listina!$Y$6="","",CHOOSE(Start.listina!$Y$7,TEXT($Q67,"00"),CONCATENATE(TEXT($Q67,"00"),TEXT($S67,"000")), TEXT($R67,"00"))),TEXT(500+$P67,"0000"),IF(Start.listina!$Y$8="","",TEXT($T67,"0")),TEXT(999999*RAND(),"000000")))</f>
        <v/>
      </c>
      <c r="X67" s="417">
        <f t="shared" si="12"/>
        <v>65</v>
      </c>
      <c r="Y67" s="415">
        <f t="shared" ref="Y67:Y98" ca="1" si="36">IF(TYPE(VLOOKUP(V67,$A$3:$O$130,15,0))&gt;3,0,VLOOKUP(V67,$A$3:$O$130,15,0))</f>
        <v>0</v>
      </c>
      <c r="Z67" s="333">
        <f t="shared" ca="1" si="13"/>
        <v>51</v>
      </c>
      <c r="AA67" s="333" t="str">
        <f t="shared" ca="1" si="14"/>
        <v/>
      </c>
      <c r="AB67" s="333" t="str">
        <f t="shared" ca="1" si="15"/>
        <v/>
      </c>
      <c r="AC67" s="333" t="str">
        <f t="shared" ca="1" si="16"/>
        <v/>
      </c>
      <c r="AD67" s="333" t="str">
        <f t="shared" ca="1" si="17"/>
        <v/>
      </c>
      <c r="AE67" s="333" t="str">
        <f t="shared" ca="1" si="18"/>
        <v/>
      </c>
      <c r="AG67" s="333">
        <f ca="1">IF(TYPE(VLOOKUP($A67,'1.kolo'!$L$3:$L$66,1,0))&gt;3,VLOOKUP($A67,'1.kolo'!$K$3:$L$66,2,0),VLOOKUP($A67,'1.kolo'!$L$3:$O$66,4,0))</f>
        <v>51</v>
      </c>
      <c r="AH67" s="333">
        <f ca="1">IF(TYPE(VLOOKUP($A67,'1.kolo'!$L$3:$L$66,1,0))&gt;3,VLOOKUP($A67,'1.kolo'!$O$3:$Q$66,2,0),VLOOKUP($A67,'1.kolo'!$L$3:$N$66,2,0))</f>
        <v>0</v>
      </c>
      <c r="AI67" s="333">
        <f ca="1">IF(TYPE(VLOOKUP($A67,'1.kolo'!$L$3:$L$66,1,0))&gt;3,VLOOKUP($A67,'1.kolo'!$O$3:$Q$66,3,0),VLOOKUP($A67,'1.kolo'!$L$3:$N$66,3,0))</f>
        <v>0</v>
      </c>
      <c r="AJ67" s="333">
        <f t="shared" ca="1" si="19"/>
        <v>0</v>
      </c>
      <c r="AK67" s="333">
        <v>65</v>
      </c>
      <c r="AL67" s="442"/>
      <c r="AP67" s="333" t="str">
        <f ca="1">IF(TYPE(VLOOKUP($A67,'2.kolo'!$L$3:$L$66,1,0))&gt;3,IF(TYPE(VLOOKUP($A67,'2.kolo'!$K$3:$L$66,2,0))&gt;3,0,VLOOKUP($A67,'2.kolo'!$K$3:$L$66,2,0)),VLOOKUP($A67,'2.kolo'!$L$3:$O$66,4,0))</f>
        <v/>
      </c>
      <c r="AQ67" s="333">
        <f ca="1">IF(TYPE(VLOOKUP($A67,'2.kolo'!$L$3:$L$66,1,0))&gt;3,IF(TYPE(VLOOKUP($A67,'2.kolo'!$O$3:$Q$66,2,0))&gt;3,0,VLOOKUP($A67,'2.kolo'!$O$3:$Q$66,2,0)),VLOOKUP($A67,'2.kolo'!$L$3:$N$66,2,0))</f>
        <v>0</v>
      </c>
      <c r="AR67" s="333">
        <f ca="1">IF(TYPE(VLOOKUP($A67,'2.kolo'!$L$3:$L$66,1,0))&gt;3,IF(TYPE(VLOOKUP($A67,'2.kolo'!$O$3:$Q$66,3,0))&gt;3,0,VLOOKUP($A67,'2.kolo'!$O$3:$Q$66,3,0)),VLOOKUP($A67,'2.kolo'!$L$3:$N$66,3,0))</f>
        <v>0</v>
      </c>
      <c r="AS67" s="333">
        <f t="shared" ca="1" si="20"/>
        <v>0</v>
      </c>
      <c r="AT67" s="415" t="s">
        <v>2005</v>
      </c>
      <c r="AU67" s="442" t="str">
        <f ca="1">IF(AT67="","",CONCATENATE(TEXT($O67,"0"),IF(Start.listina!$Y$5="","",TEXT(500+$P67,"000")),TEXT(999999*RAND(),"000000")))</f>
        <v/>
      </c>
      <c r="AV67" s="333">
        <f t="shared" ref="AV67:AV98" ca="1" si="37">IF(OR(AND(N(AP67)=0,N(AT67)=0),TYPE(MATCH($AA67,$Z67:$Z67,0))&gt;1),0,1)</f>
        <v>0</v>
      </c>
      <c r="AY67" s="333" t="str">
        <f ca="1">IF(TYPE(VLOOKUP($A67,'3.kolo'!$L$3:$L$66,1,0))&gt;3,IF(TYPE(VLOOKUP($A67,'3.kolo'!$K$3:$L$66,2,0))&gt;3,0,VLOOKUP($A67,'3.kolo'!$K$3:$L$66,2,0)),VLOOKUP($A67,'3.kolo'!$L$3:$O$66,4,0))</f>
        <v/>
      </c>
      <c r="AZ67" s="333">
        <f ca="1">IF(TYPE(VLOOKUP($A67,'3.kolo'!$L$3:$L$66,1,0))&gt;3,IF(TYPE(VLOOKUP($A67,'3.kolo'!$O$3:$Q$66,2,0))&gt;3,0,VLOOKUP($A67,'3.kolo'!$O$3:$Q$66,2,0)),VLOOKUP($A67,'3.kolo'!$L$3:$N$66,2,0))</f>
        <v>0</v>
      </c>
      <c r="BA67" s="333">
        <f ca="1">IF(TYPE(VLOOKUP($A67,'3.kolo'!$L$3:$L$66,1,0))&gt;3,IF(TYPE(VLOOKUP($A67,'3.kolo'!$O$3:$Q$66,3,0))&gt;3,0,VLOOKUP($A67,'3.kolo'!$O$3:$Q$66,3,0)),VLOOKUP($A67,'3.kolo'!$L$3:$N$66,3,0))</f>
        <v>0</v>
      </c>
      <c r="BB67" s="333">
        <f t="shared" ca="1" si="21"/>
        <v>0</v>
      </c>
      <c r="BC67" s="415" t="s">
        <v>2005</v>
      </c>
      <c r="BD67" s="442" t="str">
        <f ca="1">IF(BC67="","",CONCATENATE(TEXT($O67,"0"),IF(Start.listina!$Y$5="","",TEXT(500+$P67,"000")),TEXT(999999*RAND(),"000000")))</f>
        <v/>
      </c>
      <c r="BE67" s="333">
        <f t="shared" ref="BE67:BE98" ca="1" si="38">IF(OR(AND(N(AY67)=0,N(BC67)=0),TYPE(MATCH($AB67,$Z67:$AA67,0))&gt;1),0,1)</f>
        <v>0</v>
      </c>
      <c r="BH67" s="333" t="str">
        <f ca="1">IF(TYPE(VLOOKUP($A67,'4.kolo'!$L$3:$L$66,1,0))&gt;3,IF(TYPE(VLOOKUP($A67,'4.kolo'!$K$3:$L$66,2,0))&gt;3,0,VLOOKUP($A67,'4.kolo'!$K$3:$L$66,2,0)),VLOOKUP($A67,'4.kolo'!$L$3:$O$66,4,0))</f>
        <v/>
      </c>
      <c r="BI67" s="333">
        <f ca="1">IF(TYPE(VLOOKUP($A67,'4.kolo'!$L$3:$L$66,1,0))&gt;3,IF(TYPE(VLOOKUP($A67,'4.kolo'!$O$3:$Q$66,2,0))&gt;3,0,VLOOKUP($A67,'4.kolo'!$O$3:$Q$66,2,0)),VLOOKUP($A67,'4.kolo'!$L$3:$N$66,2,0))</f>
        <v>0</v>
      </c>
      <c r="BJ67" s="333">
        <f ca="1">IF(TYPE(VLOOKUP($A67,'4.kolo'!$L$3:$L$66,1,0))&gt;3,IF(TYPE(VLOOKUP($A67,'4.kolo'!$O$3:$Q$66,3,0))&gt;3,0,VLOOKUP($A67,'4.kolo'!$O$3:$Q$66,3,0)),VLOOKUP($A67,'4.kolo'!$L$3:$N$66,3,0))</f>
        <v>0</v>
      </c>
      <c r="BK67" s="333">
        <f t="shared" ca="1" si="22"/>
        <v>0</v>
      </c>
      <c r="BL67" s="415" t="s">
        <v>2005</v>
      </c>
      <c r="BM67" s="442" t="str">
        <f ca="1">IF(BL67="","",CONCATENATE(TEXT($O67,"0"),IF(Start.listina!$Y$5="","",TEXT(500+$P67,"000")),TEXT(999999*RAND(),"000000")))</f>
        <v/>
      </c>
      <c r="BN67" s="333">
        <f t="shared" ref="BN67:BN98" ca="1" si="39">IF(OR(AND(N(BH67)=0,N(BL67)=0),TYPE(MATCH($AC67,$Z67:$AB67,0))&gt;1),0,1)</f>
        <v>0</v>
      </c>
      <c r="BQ67" s="333" t="str">
        <f ca="1">IF(TYPE(VLOOKUP($A67,'5.kolo'!$L$3:$L$66,1,0))&gt;3,IF(TYPE(VLOOKUP($A67,'5.kolo'!$K$3:$L$66,2,0))&gt;3,0,VLOOKUP($A67,'5.kolo'!$K$3:$L$66,2,0)),VLOOKUP($A67,'5.kolo'!$L$3:$O$66,4,0))</f>
        <v/>
      </c>
      <c r="BR67" s="333">
        <f ca="1">IF(TYPE(VLOOKUP($A67,'5.kolo'!$L$3:$L$66,1,0))&gt;3,IF(TYPE(VLOOKUP($A67,'5.kolo'!$O$3:$Q$66,2,0))&gt;3,0,VLOOKUP($A67,'5.kolo'!$O$3:$Q$66,2,0)),VLOOKUP($A67,'5.kolo'!$L$3:$N$66,2,0))</f>
        <v>0</v>
      </c>
      <c r="BS67" s="333">
        <f ca="1">IF(TYPE(VLOOKUP($A67,'5.kolo'!$L$3:$L$66,1,0))&gt;3,IF(TYPE(VLOOKUP($A67,'5.kolo'!$O$3:$Q$66,3,0))&gt;3,0,VLOOKUP($A67,'5.kolo'!$O$3:$Q$66,3,0)),VLOOKUP($A67,'5.kolo'!$L$3:$N$66,3,0))</f>
        <v>0</v>
      </c>
      <c r="BT67" s="333">
        <f t="shared" ca="1" si="23"/>
        <v>0</v>
      </c>
      <c r="BU67" s="415"/>
      <c r="BV67" s="442" t="str">
        <f ca="1">IF(BU67="","",CONCATENATE(TEXT($O67,"0"),IF(Start.listina!$Y$5="","",TEXT(500+$P67,"000")),TEXT(999999*RAND(),"000000")))</f>
        <v/>
      </c>
      <c r="BW67" s="333">
        <f t="shared" ref="BW67:BW98" ca="1" si="40">IF(OR(AND(N(BQ67)=0,N(BU67)=0),TYPE(MATCH($AD67,$Z67:$AC67,0))&gt;1),0,1)</f>
        <v>0</v>
      </c>
      <c r="BZ67" s="333" t="str">
        <f ca="1">IF(TYPE(VLOOKUP($A67,'6.kolo'!$L$3:$L$66,1,0))&gt;3,IF(TYPE(VLOOKUP($A67,'6.kolo'!$K$3:$L$66,2,0))&gt;3,0,VLOOKUP($A67,'6.kolo'!$K$3:$L$66,2,0)),VLOOKUP($A67,'6.kolo'!$L$3:$O$66,4,0))</f>
        <v/>
      </c>
      <c r="CA67" s="333">
        <f ca="1">IF(TYPE(VLOOKUP($A67,'6.kolo'!$L$3:$L$66,1,0))&gt;3,IF(TYPE(VLOOKUP($A67,'6.kolo'!$O$3:$Q$66,2,0))&gt;3,0,VLOOKUP($A67,'6.kolo'!$O$3:$Q$66,2,0)),VLOOKUP($A67,'6.kolo'!$L$3:$N$66,2,0))</f>
        <v>0</v>
      </c>
      <c r="CB67" s="333">
        <f ca="1">IF(TYPE(VLOOKUP($A67,'6.kolo'!$L$3:$L$66,1,0))&gt;3,IF(TYPE(VLOOKUP($A67,'6.kolo'!$O$3:$Q$66,3,0))&gt;3,0,VLOOKUP($A67,'6.kolo'!$O$3:$Q$66,3,0)),VLOOKUP($A67,'6.kolo'!$L$3:$N$66,3,0))</f>
        <v>0</v>
      </c>
      <c r="CC67" s="333">
        <f t="shared" ca="1" si="24"/>
        <v>0</v>
      </c>
      <c r="CD67" s="415"/>
      <c r="CE67" s="442" t="str">
        <f ca="1">IF(CD67="","",CONCATENATE(TEXT($O67,"0"),IF(Start.listina!$Y$5="","",TEXT(500+$P67,"000")),TEXT(999999*RAND(),"000000")))</f>
        <v/>
      </c>
      <c r="CF67" s="333">
        <f t="shared" ref="CF67:CF98" ca="1" si="41">IF(OR(AND(N(BZ67)=0,N(CD67)=0),TYPE(MATCH($AE67,$Z67:$AD67,0))&gt;1),0,1)</f>
        <v>0</v>
      </c>
    </row>
    <row r="68" spans="1:84" x14ac:dyDescent="0.25">
      <c r="A68" s="333" t="str">
        <f>IF(OR(Start.listina!H76&gt;Start.listina!$K$7,Start.listina!G76=TRUE),"",Start.listina!H76)</f>
        <v/>
      </c>
      <c r="B68" s="333" t="str">
        <f>IF($A68&gt;Start.listina!$K$7,"",INT(($A68-1)/Start.listina!$O$7)+1)</f>
        <v/>
      </c>
      <c r="C68" s="439" t="str">
        <f>IF(OR(Start.listina!H76&gt;Start.listina!$K$7,Start.listina!G76=TRUE)," - ",Start.listina!AL76)</f>
        <v xml:space="preserve"> - </v>
      </c>
      <c r="D68" s="333" t="str">
        <f>IF(OR(A68&gt;Start.listina!$K$7,TYPE(VLOOKUP(A68,$V$3:$X$130,3,0))&gt;3),"",VLOOKUP(A68,$V$3:$X$130,3,0))</f>
        <v/>
      </c>
      <c r="E68" s="440" t="str">
        <f>IF(A68&gt;Start.listina!$K$7,"",IF(MIN(F68:K68)&gt;Start.listina!$Y$4,D68,MIN(F68:K68)))</f>
        <v/>
      </c>
      <c r="F68" s="333">
        <f ca="1">IF(TYPE(VLOOKUP(C68,Konečné_pořadí_1_16!$B$2:$D$17,3,0))&lt;4,VLOOKUP(C68,Konečné_pořadí_1_16!$B$2:$D$17,3,0),999)</f>
        <v>999</v>
      </c>
      <c r="G68" s="333">
        <f ca="1">IF(TYPE(VLOOKUP(C68,'KO64'!$D$4:$D$129,1,0))&lt;4,64,999)</f>
        <v>64</v>
      </c>
      <c r="H68" s="333">
        <f ca="1">IF(TYPE(VLOOKUP(C68,'KO32'!$D$4:$D$65,1,0))&lt;4,32,999)</f>
        <v>32</v>
      </c>
      <c r="I68" s="333">
        <f ca="1">IF(TYPE(VLOOKUP(C68,'KO16'!$D$4:$D$33,1,0))&lt;4,16,999)</f>
        <v>999</v>
      </c>
      <c r="J68" s="333">
        <f ca="1">IF(TYPE(VLOOKUP(C68,'KO8'!$D$4:$D$17,1,0))&lt;4,8,999)</f>
        <v>999</v>
      </c>
      <c r="K68" s="333">
        <f ca="1">IF(TYPE(VLOOKUP(C68,'KO4'!$D$4:$D$9,1,0))&lt;4,4,999)</f>
        <v>999</v>
      </c>
      <c r="M68" s="334">
        <v>66</v>
      </c>
      <c r="O68" s="333">
        <f t="shared" ref="O68:O130" ca="1" si="42">AH68+AQ68+AZ68+BI68+BR68+CA68</f>
        <v>0</v>
      </c>
      <c r="P68" s="333">
        <f t="shared" ref="P68:P130" ca="1" si="43">AI68+AR68+BA68+BJ68+BS68+CB68</f>
        <v>0</v>
      </c>
      <c r="Q68" s="333">
        <f t="shared" ca="1" si="34"/>
        <v>2</v>
      </c>
      <c r="R68" s="333">
        <f t="shared" ca="1" si="35"/>
        <v>0</v>
      </c>
      <c r="S68" s="333">
        <f t="shared" ref="S68:S130" ca="1" si="44">VLOOKUP($Z68,$A$3:$Q$131,17,0)+VLOOKUP($AA68,$A$3:$Q$131,17,0)+VLOOKUP($AB68,$A$3:$Q$131,17,0)+VLOOKUP($AC68,$A$3:$Q$131,17,0)+VLOOKUP($AD68,$A$3:$Q$131,17,0)+VLOOKUP($AE68,$A$3:$Q$131,17,0)</f>
        <v>16</v>
      </c>
      <c r="T68" s="333">
        <f t="shared" ref="T68:T130" ca="1" si="45">AJ68+AS68+BB68+BK68+BT68+CC68</f>
        <v>0</v>
      </c>
      <c r="U68" s="415">
        <f t="shared" si="25"/>
        <v>66</v>
      </c>
      <c r="V68" s="415" t="s">
        <v>2005</v>
      </c>
      <c r="W68" s="441" t="str">
        <f ca="1">IF($V68="","",CONCATENATE(TEXT($O68,"0"),IF(Start.listina!$Y$5="","",TEXT(500+$P68,"0000")),IF(Start.listina!$Y$6="","",CHOOSE(Start.listina!$Y$7,TEXT($Q68,"00"),CONCATENATE(TEXT($Q68,"00"),TEXT($S68,"000")), TEXT($R68,"00"))),TEXT(500+$P68,"0000"),IF(Start.listina!$Y$8="","",TEXT($T68,"0")),TEXT(999999*RAND(),"000000")))</f>
        <v/>
      </c>
      <c r="X68" s="417">
        <f t="shared" ref="X68:X130" si="46">ROW()-2</f>
        <v>66</v>
      </c>
      <c r="Y68" s="415">
        <f t="shared" ca="1" si="36"/>
        <v>0</v>
      </c>
      <c r="Z68" s="333">
        <f t="shared" ref="Z68:Z130" ca="1" si="47">$AG68</f>
        <v>51</v>
      </c>
      <c r="AA68" s="333" t="str">
        <f t="shared" ref="AA68:AA130" ca="1" si="48">$AP68</f>
        <v/>
      </c>
      <c r="AB68" s="333" t="str">
        <f t="shared" ref="AB68:AB130" ca="1" si="49">$AY68</f>
        <v/>
      </c>
      <c r="AC68" s="333" t="str">
        <f t="shared" ref="AC68:AC130" ca="1" si="50">$BH68</f>
        <v/>
      </c>
      <c r="AD68" s="333" t="str">
        <f t="shared" ref="AD68:AD130" ca="1" si="51">$BQ68</f>
        <v/>
      </c>
      <c r="AE68" s="333" t="str">
        <f t="shared" ref="AE68:AE130" ca="1" si="52">$BZ68</f>
        <v/>
      </c>
      <c r="AG68" s="333">
        <f ca="1">IF(TYPE(VLOOKUP($A68,'1.kolo'!$L$3:$L$66,1,0))&gt;3,VLOOKUP($A68,'1.kolo'!$K$3:$L$66,2,0),VLOOKUP($A68,'1.kolo'!$L$3:$O$66,4,0))</f>
        <v>51</v>
      </c>
      <c r="AH68" s="333">
        <f ca="1">IF(TYPE(VLOOKUP($A68,'1.kolo'!$L$3:$L$66,1,0))&gt;3,VLOOKUP($A68,'1.kolo'!$O$3:$Q$66,2,0),VLOOKUP($A68,'1.kolo'!$L$3:$N$66,2,0))</f>
        <v>0</v>
      </c>
      <c r="AI68" s="333">
        <f ca="1">IF(TYPE(VLOOKUP($A68,'1.kolo'!$L$3:$L$66,1,0))&gt;3,VLOOKUP($A68,'1.kolo'!$O$3:$Q$66,3,0),VLOOKUP($A68,'1.kolo'!$L$3:$N$66,3,0))</f>
        <v>0</v>
      </c>
      <c r="AJ68" s="333">
        <f t="shared" ref="AJ68:AJ130" ca="1" si="53">IF(AND(VLOOKUP($AG68,$A$3:$B$130,2,0)=1,AH68=1),1,0)</f>
        <v>0</v>
      </c>
      <c r="AK68" s="333">
        <v>66</v>
      </c>
      <c r="AL68" s="442"/>
      <c r="AP68" s="333" t="str">
        <f ca="1">IF(TYPE(VLOOKUP($A68,'2.kolo'!$L$3:$L$66,1,0))&gt;3,IF(TYPE(VLOOKUP($A68,'2.kolo'!$K$3:$L$66,2,0))&gt;3,0,VLOOKUP($A68,'2.kolo'!$K$3:$L$66,2,0)),VLOOKUP($A68,'2.kolo'!$L$3:$O$66,4,0))</f>
        <v/>
      </c>
      <c r="AQ68" s="333">
        <f ca="1">IF(TYPE(VLOOKUP($A68,'2.kolo'!$L$3:$L$66,1,0))&gt;3,IF(TYPE(VLOOKUP($A68,'2.kolo'!$O$3:$Q$66,2,0))&gt;3,0,VLOOKUP($A68,'2.kolo'!$O$3:$Q$66,2,0)),VLOOKUP($A68,'2.kolo'!$L$3:$N$66,2,0))</f>
        <v>0</v>
      </c>
      <c r="AR68" s="333">
        <f ca="1">IF(TYPE(VLOOKUP($A68,'2.kolo'!$L$3:$L$66,1,0))&gt;3,IF(TYPE(VLOOKUP($A68,'2.kolo'!$O$3:$Q$66,3,0))&gt;3,0,VLOOKUP($A68,'2.kolo'!$O$3:$Q$66,3,0)),VLOOKUP($A68,'2.kolo'!$L$3:$N$66,3,0))</f>
        <v>0</v>
      </c>
      <c r="AS68" s="333">
        <f t="shared" ref="AS68:AS130" ca="1" si="54">IF(AND(VLOOKUP($AG68,$A$3:$B$130,2,0)=1,AQ68=1),1,0)</f>
        <v>0</v>
      </c>
      <c r="AT68" s="415" t="s">
        <v>2005</v>
      </c>
      <c r="AU68" s="442" t="str">
        <f ca="1">IF(AT68="","",CONCATENATE(TEXT($O68,"0"),IF(Start.listina!$Y$5="","",TEXT(500+$P68,"000")),TEXT(999999*RAND(),"000000")))</f>
        <v/>
      </c>
      <c r="AV68" s="333">
        <f t="shared" ca="1" si="37"/>
        <v>0</v>
      </c>
      <c r="AY68" s="333" t="str">
        <f ca="1">IF(TYPE(VLOOKUP($A68,'3.kolo'!$L$3:$L$66,1,0))&gt;3,IF(TYPE(VLOOKUP($A68,'3.kolo'!$K$3:$L$66,2,0))&gt;3,0,VLOOKUP($A68,'3.kolo'!$K$3:$L$66,2,0)),VLOOKUP($A68,'3.kolo'!$L$3:$O$66,4,0))</f>
        <v/>
      </c>
      <c r="AZ68" s="333">
        <f ca="1">IF(TYPE(VLOOKUP($A68,'3.kolo'!$L$3:$L$66,1,0))&gt;3,IF(TYPE(VLOOKUP($A68,'3.kolo'!$O$3:$Q$66,2,0))&gt;3,0,VLOOKUP($A68,'3.kolo'!$O$3:$Q$66,2,0)),VLOOKUP($A68,'3.kolo'!$L$3:$N$66,2,0))</f>
        <v>0</v>
      </c>
      <c r="BA68" s="333">
        <f ca="1">IF(TYPE(VLOOKUP($A68,'3.kolo'!$L$3:$L$66,1,0))&gt;3,IF(TYPE(VLOOKUP($A68,'3.kolo'!$O$3:$Q$66,3,0))&gt;3,0,VLOOKUP($A68,'3.kolo'!$O$3:$Q$66,3,0)),VLOOKUP($A68,'3.kolo'!$L$3:$N$66,3,0))</f>
        <v>0</v>
      </c>
      <c r="BB68" s="333">
        <f t="shared" ref="BB68:BB130" ca="1" si="55">IF(AND(VLOOKUP($AG68,$A$3:$B$130,2,0)=1,AZ68=1),1,0)</f>
        <v>0</v>
      </c>
      <c r="BC68" s="415" t="s">
        <v>2005</v>
      </c>
      <c r="BD68" s="442" t="str">
        <f ca="1">IF(BC68="","",CONCATENATE(TEXT($O68,"0"),IF(Start.listina!$Y$5="","",TEXT(500+$P68,"000")),TEXT(999999*RAND(),"000000")))</f>
        <v/>
      </c>
      <c r="BE68" s="333">
        <f t="shared" ca="1" si="38"/>
        <v>0</v>
      </c>
      <c r="BH68" s="333" t="str">
        <f ca="1">IF(TYPE(VLOOKUP($A68,'4.kolo'!$L$3:$L$66,1,0))&gt;3,IF(TYPE(VLOOKUP($A68,'4.kolo'!$K$3:$L$66,2,0))&gt;3,0,VLOOKUP($A68,'4.kolo'!$K$3:$L$66,2,0)),VLOOKUP($A68,'4.kolo'!$L$3:$O$66,4,0))</f>
        <v/>
      </c>
      <c r="BI68" s="333">
        <f ca="1">IF(TYPE(VLOOKUP($A68,'4.kolo'!$L$3:$L$66,1,0))&gt;3,IF(TYPE(VLOOKUP($A68,'4.kolo'!$O$3:$Q$66,2,0))&gt;3,0,VLOOKUP($A68,'4.kolo'!$O$3:$Q$66,2,0)),VLOOKUP($A68,'4.kolo'!$L$3:$N$66,2,0))</f>
        <v>0</v>
      </c>
      <c r="BJ68" s="333">
        <f ca="1">IF(TYPE(VLOOKUP($A68,'4.kolo'!$L$3:$L$66,1,0))&gt;3,IF(TYPE(VLOOKUP($A68,'4.kolo'!$O$3:$Q$66,3,0))&gt;3,0,VLOOKUP($A68,'4.kolo'!$O$3:$Q$66,3,0)),VLOOKUP($A68,'4.kolo'!$L$3:$N$66,3,0))</f>
        <v>0</v>
      </c>
      <c r="BK68" s="333">
        <f t="shared" ref="BK68:BK130" ca="1" si="56">IF(AND(VLOOKUP($AG68,$A$3:$B$130,2,0)=1,BI68=1),1,0)</f>
        <v>0</v>
      </c>
      <c r="BL68" s="415" t="s">
        <v>2005</v>
      </c>
      <c r="BM68" s="442" t="str">
        <f ca="1">IF(BL68="","",CONCATENATE(TEXT($O68,"0"),IF(Start.listina!$Y$5="","",TEXT(500+$P68,"000")),TEXT(999999*RAND(),"000000")))</f>
        <v/>
      </c>
      <c r="BN68" s="333">
        <f t="shared" ca="1" si="39"/>
        <v>0</v>
      </c>
      <c r="BQ68" s="333" t="str">
        <f ca="1">IF(TYPE(VLOOKUP($A68,'5.kolo'!$L$3:$L$66,1,0))&gt;3,IF(TYPE(VLOOKUP($A68,'5.kolo'!$K$3:$L$66,2,0))&gt;3,0,VLOOKUP($A68,'5.kolo'!$K$3:$L$66,2,0)),VLOOKUP($A68,'5.kolo'!$L$3:$O$66,4,0))</f>
        <v/>
      </c>
      <c r="BR68" s="333">
        <f ca="1">IF(TYPE(VLOOKUP($A68,'5.kolo'!$L$3:$L$66,1,0))&gt;3,IF(TYPE(VLOOKUP($A68,'5.kolo'!$O$3:$Q$66,2,0))&gt;3,0,VLOOKUP($A68,'5.kolo'!$O$3:$Q$66,2,0)),VLOOKUP($A68,'5.kolo'!$L$3:$N$66,2,0))</f>
        <v>0</v>
      </c>
      <c r="BS68" s="333">
        <f ca="1">IF(TYPE(VLOOKUP($A68,'5.kolo'!$L$3:$L$66,1,0))&gt;3,IF(TYPE(VLOOKUP($A68,'5.kolo'!$O$3:$Q$66,3,0))&gt;3,0,VLOOKUP($A68,'5.kolo'!$O$3:$Q$66,3,0)),VLOOKUP($A68,'5.kolo'!$L$3:$N$66,3,0))</f>
        <v>0</v>
      </c>
      <c r="BT68" s="333">
        <f t="shared" ref="BT68:BT130" ca="1" si="57">IF(AND(VLOOKUP($AG68,$A$3:$B$130,2,0)=1,BR68=1),1,0)</f>
        <v>0</v>
      </c>
      <c r="BU68" s="415"/>
      <c r="BV68" s="442" t="str">
        <f ca="1">IF(BU68="","",CONCATENATE(TEXT($O68,"0"),IF(Start.listina!$Y$5="","",TEXT(500+$P68,"000")),TEXT(999999*RAND(),"000000")))</f>
        <v/>
      </c>
      <c r="BW68" s="333">
        <f t="shared" ca="1" si="40"/>
        <v>0</v>
      </c>
      <c r="BZ68" s="333" t="str">
        <f ca="1">IF(TYPE(VLOOKUP($A68,'6.kolo'!$L$3:$L$66,1,0))&gt;3,IF(TYPE(VLOOKUP($A68,'6.kolo'!$K$3:$L$66,2,0))&gt;3,0,VLOOKUP($A68,'6.kolo'!$K$3:$L$66,2,0)),VLOOKUP($A68,'6.kolo'!$L$3:$O$66,4,0))</f>
        <v/>
      </c>
      <c r="CA68" s="333">
        <f ca="1">IF(TYPE(VLOOKUP($A68,'6.kolo'!$L$3:$L$66,1,0))&gt;3,IF(TYPE(VLOOKUP($A68,'6.kolo'!$O$3:$Q$66,2,0))&gt;3,0,VLOOKUP($A68,'6.kolo'!$O$3:$Q$66,2,0)),VLOOKUP($A68,'6.kolo'!$L$3:$N$66,2,0))</f>
        <v>0</v>
      </c>
      <c r="CB68" s="333">
        <f ca="1">IF(TYPE(VLOOKUP($A68,'6.kolo'!$L$3:$L$66,1,0))&gt;3,IF(TYPE(VLOOKUP($A68,'6.kolo'!$O$3:$Q$66,3,0))&gt;3,0,VLOOKUP($A68,'6.kolo'!$O$3:$Q$66,3,0)),VLOOKUP($A68,'6.kolo'!$L$3:$N$66,3,0))</f>
        <v>0</v>
      </c>
      <c r="CC68" s="333">
        <f t="shared" ref="CC68:CC130" ca="1" si="58">IF(AND(VLOOKUP($AG68,$A$3:$B$130,2,0)=1,CA68=1),1,0)</f>
        <v>0</v>
      </c>
      <c r="CD68" s="415"/>
      <c r="CE68" s="442" t="str">
        <f ca="1">IF(CD68="","",CONCATENATE(TEXT($O68,"0"),IF(Start.listina!$Y$5="","",TEXT(500+$P68,"000")),TEXT(999999*RAND(),"000000")))</f>
        <v/>
      </c>
      <c r="CF68" s="333">
        <f t="shared" ca="1" si="41"/>
        <v>0</v>
      </c>
    </row>
    <row r="69" spans="1:84" x14ac:dyDescent="0.25">
      <c r="A69" s="333" t="str">
        <f>IF(OR(Start.listina!H77&gt;Start.listina!$K$7,Start.listina!G77=TRUE),"",Start.listina!H77)</f>
        <v/>
      </c>
      <c r="B69" s="333" t="str">
        <f>IF($A69&gt;Start.listina!$K$7,"",INT(($A69-1)/Start.listina!$O$7)+1)</f>
        <v/>
      </c>
      <c r="C69" s="439" t="str">
        <f>IF(OR(Start.listina!H77&gt;Start.listina!$K$7,Start.listina!G77=TRUE)," - ",Start.listina!AL77)</f>
        <v xml:space="preserve"> - </v>
      </c>
      <c r="D69" s="333" t="str">
        <f>IF(OR(A69&gt;Start.listina!$K$7,TYPE(VLOOKUP(A69,$V$3:$X$130,3,0))&gt;3),"",VLOOKUP(A69,$V$3:$X$130,3,0))</f>
        <v/>
      </c>
      <c r="E69" s="440" t="str">
        <f>IF(A69&gt;Start.listina!$K$7,"",IF(MIN(F69:K69)&gt;Start.listina!$Y$4,D69,MIN(F69:K69)))</f>
        <v/>
      </c>
      <c r="F69" s="333">
        <f ca="1">IF(TYPE(VLOOKUP(C69,Konečné_pořadí_1_16!$B$2:$D$17,3,0))&lt;4,VLOOKUP(C69,Konečné_pořadí_1_16!$B$2:$D$17,3,0),999)</f>
        <v>999</v>
      </c>
      <c r="G69" s="333">
        <f ca="1">IF(TYPE(VLOOKUP(C69,'KO64'!$D$4:$D$129,1,0))&lt;4,64,999)</f>
        <v>64</v>
      </c>
      <c r="H69" s="333">
        <f ca="1">IF(TYPE(VLOOKUP(C69,'KO32'!$D$4:$D$65,1,0))&lt;4,32,999)</f>
        <v>32</v>
      </c>
      <c r="I69" s="333">
        <f ca="1">IF(TYPE(VLOOKUP(C69,'KO16'!$D$4:$D$33,1,0))&lt;4,16,999)</f>
        <v>999</v>
      </c>
      <c r="J69" s="333">
        <f ca="1">IF(TYPE(VLOOKUP(C69,'KO8'!$D$4:$D$17,1,0))&lt;4,8,999)</f>
        <v>999</v>
      </c>
      <c r="K69" s="333">
        <f ca="1">IF(TYPE(VLOOKUP(C69,'KO4'!$D$4:$D$9,1,0))&lt;4,4,999)</f>
        <v>999</v>
      </c>
      <c r="M69" s="334">
        <v>67</v>
      </c>
      <c r="O69" s="333">
        <f t="shared" ca="1" si="42"/>
        <v>0</v>
      </c>
      <c r="P69" s="333">
        <f t="shared" ca="1" si="43"/>
        <v>0</v>
      </c>
      <c r="Q69" s="333">
        <f t="shared" ca="1" si="34"/>
        <v>2</v>
      </c>
      <c r="R69" s="333">
        <f t="shared" ca="1" si="35"/>
        <v>0</v>
      </c>
      <c r="S69" s="333">
        <f t="shared" ca="1" si="44"/>
        <v>16</v>
      </c>
      <c r="T69" s="333">
        <f t="shared" ca="1" si="45"/>
        <v>0</v>
      </c>
      <c r="U69" s="415">
        <f t="shared" ref="U69:U130" si="59">ROW()-2</f>
        <v>67</v>
      </c>
      <c r="V69" s="415" t="s">
        <v>2005</v>
      </c>
      <c r="W69" s="441" t="str">
        <f ca="1">IF($V69="","",CONCATENATE(TEXT($O69,"0"),IF(Start.listina!$Y$5="","",TEXT(500+$P69,"0000")),IF(Start.listina!$Y$6="","",CHOOSE(Start.listina!$Y$7,TEXT($Q69,"00"),CONCATENATE(TEXT($Q69,"00"),TEXT($S69,"000")), TEXT($R69,"00"))),TEXT(500+$P69,"0000"),IF(Start.listina!$Y$8="","",TEXT($T69,"0")),TEXT(999999*RAND(),"000000")))</f>
        <v/>
      </c>
      <c r="X69" s="417">
        <f t="shared" si="46"/>
        <v>67</v>
      </c>
      <c r="Y69" s="415">
        <f t="shared" ca="1" si="36"/>
        <v>0</v>
      </c>
      <c r="Z69" s="333">
        <f t="shared" ca="1" si="47"/>
        <v>51</v>
      </c>
      <c r="AA69" s="333" t="str">
        <f t="shared" ca="1" si="48"/>
        <v/>
      </c>
      <c r="AB69" s="333" t="str">
        <f t="shared" ca="1" si="49"/>
        <v/>
      </c>
      <c r="AC69" s="333" t="str">
        <f t="shared" ca="1" si="50"/>
        <v/>
      </c>
      <c r="AD69" s="333" t="str">
        <f t="shared" ca="1" si="51"/>
        <v/>
      </c>
      <c r="AE69" s="333" t="str">
        <f t="shared" ca="1" si="52"/>
        <v/>
      </c>
      <c r="AG69" s="333">
        <f ca="1">IF(TYPE(VLOOKUP($A69,'1.kolo'!$L$3:$L$66,1,0))&gt;3,VLOOKUP($A69,'1.kolo'!$K$3:$L$66,2,0),VLOOKUP($A69,'1.kolo'!$L$3:$O$66,4,0))</f>
        <v>51</v>
      </c>
      <c r="AH69" s="333">
        <f ca="1">IF(TYPE(VLOOKUP($A69,'1.kolo'!$L$3:$L$66,1,0))&gt;3,VLOOKUP($A69,'1.kolo'!$O$3:$Q$66,2,0),VLOOKUP($A69,'1.kolo'!$L$3:$N$66,2,0))</f>
        <v>0</v>
      </c>
      <c r="AI69" s="333">
        <f ca="1">IF(TYPE(VLOOKUP($A69,'1.kolo'!$L$3:$L$66,1,0))&gt;3,VLOOKUP($A69,'1.kolo'!$O$3:$Q$66,3,0),VLOOKUP($A69,'1.kolo'!$L$3:$N$66,3,0))</f>
        <v>0</v>
      </c>
      <c r="AJ69" s="333">
        <f t="shared" ca="1" si="53"/>
        <v>0</v>
      </c>
      <c r="AK69" s="333">
        <v>67</v>
      </c>
      <c r="AL69" s="442"/>
      <c r="AP69" s="333" t="str">
        <f ca="1">IF(TYPE(VLOOKUP($A69,'2.kolo'!$L$3:$L$66,1,0))&gt;3,IF(TYPE(VLOOKUP($A69,'2.kolo'!$K$3:$L$66,2,0))&gt;3,0,VLOOKUP($A69,'2.kolo'!$K$3:$L$66,2,0)),VLOOKUP($A69,'2.kolo'!$L$3:$O$66,4,0))</f>
        <v/>
      </c>
      <c r="AQ69" s="333">
        <f ca="1">IF(TYPE(VLOOKUP($A69,'2.kolo'!$L$3:$L$66,1,0))&gt;3,IF(TYPE(VLOOKUP($A69,'2.kolo'!$O$3:$Q$66,2,0))&gt;3,0,VLOOKUP($A69,'2.kolo'!$O$3:$Q$66,2,0)),VLOOKUP($A69,'2.kolo'!$L$3:$N$66,2,0))</f>
        <v>0</v>
      </c>
      <c r="AR69" s="333">
        <f ca="1">IF(TYPE(VLOOKUP($A69,'2.kolo'!$L$3:$L$66,1,0))&gt;3,IF(TYPE(VLOOKUP($A69,'2.kolo'!$O$3:$Q$66,3,0))&gt;3,0,VLOOKUP($A69,'2.kolo'!$O$3:$Q$66,3,0)),VLOOKUP($A69,'2.kolo'!$L$3:$N$66,3,0))</f>
        <v>0</v>
      </c>
      <c r="AS69" s="333">
        <f t="shared" ca="1" si="54"/>
        <v>0</v>
      </c>
      <c r="AT69" s="415" t="s">
        <v>2005</v>
      </c>
      <c r="AU69" s="442" t="str">
        <f ca="1">IF(AT69="","",CONCATENATE(TEXT($O69,"0"),IF(Start.listina!$Y$5="","",TEXT(500+$P69,"000")),TEXT(999999*RAND(),"000000")))</f>
        <v/>
      </c>
      <c r="AV69" s="333">
        <f t="shared" ca="1" si="37"/>
        <v>0</v>
      </c>
      <c r="AY69" s="333" t="str">
        <f ca="1">IF(TYPE(VLOOKUP($A69,'3.kolo'!$L$3:$L$66,1,0))&gt;3,IF(TYPE(VLOOKUP($A69,'3.kolo'!$K$3:$L$66,2,0))&gt;3,0,VLOOKUP($A69,'3.kolo'!$K$3:$L$66,2,0)),VLOOKUP($A69,'3.kolo'!$L$3:$O$66,4,0))</f>
        <v/>
      </c>
      <c r="AZ69" s="333">
        <f ca="1">IF(TYPE(VLOOKUP($A69,'3.kolo'!$L$3:$L$66,1,0))&gt;3,IF(TYPE(VLOOKUP($A69,'3.kolo'!$O$3:$Q$66,2,0))&gt;3,0,VLOOKUP($A69,'3.kolo'!$O$3:$Q$66,2,0)),VLOOKUP($A69,'3.kolo'!$L$3:$N$66,2,0))</f>
        <v>0</v>
      </c>
      <c r="BA69" s="333">
        <f ca="1">IF(TYPE(VLOOKUP($A69,'3.kolo'!$L$3:$L$66,1,0))&gt;3,IF(TYPE(VLOOKUP($A69,'3.kolo'!$O$3:$Q$66,3,0))&gt;3,0,VLOOKUP($A69,'3.kolo'!$O$3:$Q$66,3,0)),VLOOKUP($A69,'3.kolo'!$L$3:$N$66,3,0))</f>
        <v>0</v>
      </c>
      <c r="BB69" s="333">
        <f t="shared" ca="1" si="55"/>
        <v>0</v>
      </c>
      <c r="BC69" s="415" t="s">
        <v>2005</v>
      </c>
      <c r="BD69" s="442" t="str">
        <f ca="1">IF(BC69="","",CONCATENATE(TEXT($O69,"0"),IF(Start.listina!$Y$5="","",TEXT(500+$P69,"000")),TEXT(999999*RAND(),"000000")))</f>
        <v/>
      </c>
      <c r="BE69" s="333">
        <f t="shared" ca="1" si="38"/>
        <v>0</v>
      </c>
      <c r="BH69" s="333" t="str">
        <f ca="1">IF(TYPE(VLOOKUP($A69,'4.kolo'!$L$3:$L$66,1,0))&gt;3,IF(TYPE(VLOOKUP($A69,'4.kolo'!$K$3:$L$66,2,0))&gt;3,0,VLOOKUP($A69,'4.kolo'!$K$3:$L$66,2,0)),VLOOKUP($A69,'4.kolo'!$L$3:$O$66,4,0))</f>
        <v/>
      </c>
      <c r="BI69" s="333">
        <f ca="1">IF(TYPE(VLOOKUP($A69,'4.kolo'!$L$3:$L$66,1,0))&gt;3,IF(TYPE(VLOOKUP($A69,'4.kolo'!$O$3:$Q$66,2,0))&gt;3,0,VLOOKUP($A69,'4.kolo'!$O$3:$Q$66,2,0)),VLOOKUP($A69,'4.kolo'!$L$3:$N$66,2,0))</f>
        <v>0</v>
      </c>
      <c r="BJ69" s="333">
        <f ca="1">IF(TYPE(VLOOKUP($A69,'4.kolo'!$L$3:$L$66,1,0))&gt;3,IF(TYPE(VLOOKUP($A69,'4.kolo'!$O$3:$Q$66,3,0))&gt;3,0,VLOOKUP($A69,'4.kolo'!$O$3:$Q$66,3,0)),VLOOKUP($A69,'4.kolo'!$L$3:$N$66,3,0))</f>
        <v>0</v>
      </c>
      <c r="BK69" s="333">
        <f t="shared" ca="1" si="56"/>
        <v>0</v>
      </c>
      <c r="BL69" s="415" t="s">
        <v>2005</v>
      </c>
      <c r="BM69" s="442" t="str">
        <f ca="1">IF(BL69="","",CONCATENATE(TEXT($O69,"0"),IF(Start.listina!$Y$5="","",TEXT(500+$P69,"000")),TEXT(999999*RAND(),"000000")))</f>
        <v/>
      </c>
      <c r="BN69" s="333">
        <f t="shared" ca="1" si="39"/>
        <v>0</v>
      </c>
      <c r="BQ69" s="333" t="str">
        <f ca="1">IF(TYPE(VLOOKUP($A69,'5.kolo'!$L$3:$L$66,1,0))&gt;3,IF(TYPE(VLOOKUP($A69,'5.kolo'!$K$3:$L$66,2,0))&gt;3,0,VLOOKUP($A69,'5.kolo'!$K$3:$L$66,2,0)),VLOOKUP($A69,'5.kolo'!$L$3:$O$66,4,0))</f>
        <v/>
      </c>
      <c r="BR69" s="333">
        <f ca="1">IF(TYPE(VLOOKUP($A69,'5.kolo'!$L$3:$L$66,1,0))&gt;3,IF(TYPE(VLOOKUP($A69,'5.kolo'!$O$3:$Q$66,2,0))&gt;3,0,VLOOKUP($A69,'5.kolo'!$O$3:$Q$66,2,0)),VLOOKUP($A69,'5.kolo'!$L$3:$N$66,2,0))</f>
        <v>0</v>
      </c>
      <c r="BS69" s="333">
        <f ca="1">IF(TYPE(VLOOKUP($A69,'5.kolo'!$L$3:$L$66,1,0))&gt;3,IF(TYPE(VLOOKUP($A69,'5.kolo'!$O$3:$Q$66,3,0))&gt;3,0,VLOOKUP($A69,'5.kolo'!$O$3:$Q$66,3,0)),VLOOKUP($A69,'5.kolo'!$L$3:$N$66,3,0))</f>
        <v>0</v>
      </c>
      <c r="BT69" s="333">
        <f t="shared" ca="1" si="57"/>
        <v>0</v>
      </c>
      <c r="BU69" s="415"/>
      <c r="BV69" s="442" t="str">
        <f ca="1">IF(BU69="","",CONCATENATE(TEXT($O69,"0"),IF(Start.listina!$Y$5="","",TEXT(500+$P69,"000")),TEXT(999999*RAND(),"000000")))</f>
        <v/>
      </c>
      <c r="BW69" s="333">
        <f t="shared" ca="1" si="40"/>
        <v>0</v>
      </c>
      <c r="BZ69" s="333" t="str">
        <f ca="1">IF(TYPE(VLOOKUP($A69,'6.kolo'!$L$3:$L$66,1,0))&gt;3,IF(TYPE(VLOOKUP($A69,'6.kolo'!$K$3:$L$66,2,0))&gt;3,0,VLOOKUP($A69,'6.kolo'!$K$3:$L$66,2,0)),VLOOKUP($A69,'6.kolo'!$L$3:$O$66,4,0))</f>
        <v/>
      </c>
      <c r="CA69" s="333">
        <f ca="1">IF(TYPE(VLOOKUP($A69,'6.kolo'!$L$3:$L$66,1,0))&gt;3,IF(TYPE(VLOOKUP($A69,'6.kolo'!$O$3:$Q$66,2,0))&gt;3,0,VLOOKUP($A69,'6.kolo'!$O$3:$Q$66,2,0)),VLOOKUP($A69,'6.kolo'!$L$3:$N$66,2,0))</f>
        <v>0</v>
      </c>
      <c r="CB69" s="333">
        <f ca="1">IF(TYPE(VLOOKUP($A69,'6.kolo'!$L$3:$L$66,1,0))&gt;3,IF(TYPE(VLOOKUP($A69,'6.kolo'!$O$3:$Q$66,3,0))&gt;3,0,VLOOKUP($A69,'6.kolo'!$O$3:$Q$66,3,0)),VLOOKUP($A69,'6.kolo'!$L$3:$N$66,3,0))</f>
        <v>0</v>
      </c>
      <c r="CC69" s="333">
        <f t="shared" ca="1" si="58"/>
        <v>0</v>
      </c>
      <c r="CD69" s="415"/>
      <c r="CE69" s="442" t="str">
        <f ca="1">IF(CD69="","",CONCATENATE(TEXT($O69,"0"),IF(Start.listina!$Y$5="","",TEXT(500+$P69,"000")),TEXT(999999*RAND(),"000000")))</f>
        <v/>
      </c>
      <c r="CF69" s="333">
        <f t="shared" ca="1" si="41"/>
        <v>0</v>
      </c>
    </row>
    <row r="70" spans="1:84" x14ac:dyDescent="0.25">
      <c r="A70" s="333" t="str">
        <f>IF(OR(Start.listina!H78&gt;Start.listina!$K$7,Start.listina!G78=TRUE),"",Start.listina!H78)</f>
        <v/>
      </c>
      <c r="B70" s="333" t="str">
        <f>IF($A70&gt;Start.listina!$K$7,"",INT(($A70-1)/Start.listina!$O$7)+1)</f>
        <v/>
      </c>
      <c r="C70" s="439" t="str">
        <f>IF(OR(Start.listina!H78&gt;Start.listina!$K$7,Start.listina!G78=TRUE)," - ",Start.listina!AL78)</f>
        <v xml:space="preserve"> - </v>
      </c>
      <c r="D70" s="333" t="str">
        <f>IF(OR(A70&gt;Start.listina!$K$7,TYPE(VLOOKUP(A70,$V$3:$X$130,3,0))&gt;3),"",VLOOKUP(A70,$V$3:$X$130,3,0))</f>
        <v/>
      </c>
      <c r="E70" s="440" t="str">
        <f>IF(A70&gt;Start.listina!$K$7,"",IF(MIN(F70:K70)&gt;Start.listina!$Y$4,D70,MIN(F70:K70)))</f>
        <v/>
      </c>
      <c r="F70" s="333">
        <f ca="1">IF(TYPE(VLOOKUP(C70,Konečné_pořadí_1_16!$B$2:$D$17,3,0))&lt;4,VLOOKUP(C70,Konečné_pořadí_1_16!$B$2:$D$17,3,0),999)</f>
        <v>999</v>
      </c>
      <c r="G70" s="333">
        <f ca="1">IF(TYPE(VLOOKUP(C70,'KO64'!$D$4:$D$129,1,0))&lt;4,64,999)</f>
        <v>64</v>
      </c>
      <c r="H70" s="333">
        <f ca="1">IF(TYPE(VLOOKUP(C70,'KO32'!$D$4:$D$65,1,0))&lt;4,32,999)</f>
        <v>32</v>
      </c>
      <c r="I70" s="333">
        <f ca="1">IF(TYPE(VLOOKUP(C70,'KO16'!$D$4:$D$33,1,0))&lt;4,16,999)</f>
        <v>999</v>
      </c>
      <c r="J70" s="333">
        <f ca="1">IF(TYPE(VLOOKUP(C70,'KO8'!$D$4:$D$17,1,0))&lt;4,8,999)</f>
        <v>999</v>
      </c>
      <c r="K70" s="333">
        <f ca="1">IF(TYPE(VLOOKUP(C70,'KO4'!$D$4:$D$9,1,0))&lt;4,4,999)</f>
        <v>999</v>
      </c>
      <c r="M70" s="334">
        <v>68</v>
      </c>
      <c r="O70" s="333">
        <f t="shared" ca="1" si="42"/>
        <v>0</v>
      </c>
      <c r="P70" s="333">
        <f t="shared" ca="1" si="43"/>
        <v>0</v>
      </c>
      <c r="Q70" s="333">
        <f t="shared" ca="1" si="34"/>
        <v>2</v>
      </c>
      <c r="R70" s="333">
        <f t="shared" ca="1" si="35"/>
        <v>0</v>
      </c>
      <c r="S70" s="333">
        <f t="shared" ca="1" si="44"/>
        <v>16</v>
      </c>
      <c r="T70" s="333">
        <f t="shared" ca="1" si="45"/>
        <v>0</v>
      </c>
      <c r="U70" s="415">
        <f t="shared" si="59"/>
        <v>68</v>
      </c>
      <c r="V70" s="415" t="s">
        <v>2005</v>
      </c>
      <c r="W70" s="441" t="str">
        <f ca="1">IF($V70="","",CONCATENATE(TEXT($O70,"0"),IF(Start.listina!$Y$5="","",TEXT(500+$P70,"0000")),IF(Start.listina!$Y$6="","",CHOOSE(Start.listina!$Y$7,TEXT($Q70,"00"),CONCATENATE(TEXT($Q70,"00"),TEXT($S70,"000")), TEXT($R70,"00"))),TEXT(500+$P70,"0000"),IF(Start.listina!$Y$8="","",TEXT($T70,"0")),TEXT(999999*RAND(),"000000")))</f>
        <v/>
      </c>
      <c r="X70" s="417">
        <f t="shared" si="46"/>
        <v>68</v>
      </c>
      <c r="Y70" s="415">
        <f t="shared" ca="1" si="36"/>
        <v>0</v>
      </c>
      <c r="Z70" s="333">
        <f t="shared" ca="1" si="47"/>
        <v>51</v>
      </c>
      <c r="AA70" s="333" t="str">
        <f t="shared" ca="1" si="48"/>
        <v/>
      </c>
      <c r="AB70" s="333" t="str">
        <f t="shared" ca="1" si="49"/>
        <v/>
      </c>
      <c r="AC70" s="333" t="str">
        <f t="shared" ca="1" si="50"/>
        <v/>
      </c>
      <c r="AD70" s="333" t="str">
        <f t="shared" ca="1" si="51"/>
        <v/>
      </c>
      <c r="AE70" s="333" t="str">
        <f t="shared" ca="1" si="52"/>
        <v/>
      </c>
      <c r="AG70" s="333">
        <f ca="1">IF(TYPE(VLOOKUP($A70,'1.kolo'!$L$3:$L$66,1,0))&gt;3,VLOOKUP($A70,'1.kolo'!$K$3:$L$66,2,0),VLOOKUP($A70,'1.kolo'!$L$3:$O$66,4,0))</f>
        <v>51</v>
      </c>
      <c r="AH70" s="333">
        <f ca="1">IF(TYPE(VLOOKUP($A70,'1.kolo'!$L$3:$L$66,1,0))&gt;3,VLOOKUP($A70,'1.kolo'!$O$3:$Q$66,2,0),VLOOKUP($A70,'1.kolo'!$L$3:$N$66,2,0))</f>
        <v>0</v>
      </c>
      <c r="AI70" s="333">
        <f ca="1">IF(TYPE(VLOOKUP($A70,'1.kolo'!$L$3:$L$66,1,0))&gt;3,VLOOKUP($A70,'1.kolo'!$O$3:$Q$66,3,0),VLOOKUP($A70,'1.kolo'!$L$3:$N$66,3,0))</f>
        <v>0</v>
      </c>
      <c r="AJ70" s="333">
        <f t="shared" ca="1" si="53"/>
        <v>0</v>
      </c>
      <c r="AK70" s="333">
        <v>68</v>
      </c>
      <c r="AL70" s="442"/>
      <c r="AP70" s="333" t="str">
        <f ca="1">IF(TYPE(VLOOKUP($A70,'2.kolo'!$L$3:$L$66,1,0))&gt;3,IF(TYPE(VLOOKUP($A70,'2.kolo'!$K$3:$L$66,2,0))&gt;3,0,VLOOKUP($A70,'2.kolo'!$K$3:$L$66,2,0)),VLOOKUP($A70,'2.kolo'!$L$3:$O$66,4,0))</f>
        <v/>
      </c>
      <c r="AQ70" s="333">
        <f ca="1">IF(TYPE(VLOOKUP($A70,'2.kolo'!$L$3:$L$66,1,0))&gt;3,IF(TYPE(VLOOKUP($A70,'2.kolo'!$O$3:$Q$66,2,0))&gt;3,0,VLOOKUP($A70,'2.kolo'!$O$3:$Q$66,2,0)),VLOOKUP($A70,'2.kolo'!$L$3:$N$66,2,0))</f>
        <v>0</v>
      </c>
      <c r="AR70" s="333">
        <f ca="1">IF(TYPE(VLOOKUP($A70,'2.kolo'!$L$3:$L$66,1,0))&gt;3,IF(TYPE(VLOOKUP($A70,'2.kolo'!$O$3:$Q$66,3,0))&gt;3,0,VLOOKUP($A70,'2.kolo'!$O$3:$Q$66,3,0)),VLOOKUP($A70,'2.kolo'!$L$3:$N$66,3,0))</f>
        <v>0</v>
      </c>
      <c r="AS70" s="333">
        <f t="shared" ca="1" si="54"/>
        <v>0</v>
      </c>
      <c r="AT70" s="415" t="s">
        <v>2005</v>
      </c>
      <c r="AU70" s="442" t="str">
        <f ca="1">IF(AT70="","",CONCATENATE(TEXT($O70,"0"),IF(Start.listina!$Y$5="","",TEXT(500+$P70,"000")),TEXT(999999*RAND(),"000000")))</f>
        <v/>
      </c>
      <c r="AV70" s="333">
        <f t="shared" ca="1" si="37"/>
        <v>0</v>
      </c>
      <c r="AY70" s="333" t="str">
        <f ca="1">IF(TYPE(VLOOKUP($A70,'3.kolo'!$L$3:$L$66,1,0))&gt;3,IF(TYPE(VLOOKUP($A70,'3.kolo'!$K$3:$L$66,2,0))&gt;3,0,VLOOKUP($A70,'3.kolo'!$K$3:$L$66,2,0)),VLOOKUP($A70,'3.kolo'!$L$3:$O$66,4,0))</f>
        <v/>
      </c>
      <c r="AZ70" s="333">
        <f ca="1">IF(TYPE(VLOOKUP($A70,'3.kolo'!$L$3:$L$66,1,0))&gt;3,IF(TYPE(VLOOKUP($A70,'3.kolo'!$O$3:$Q$66,2,0))&gt;3,0,VLOOKUP($A70,'3.kolo'!$O$3:$Q$66,2,0)),VLOOKUP($A70,'3.kolo'!$L$3:$N$66,2,0))</f>
        <v>0</v>
      </c>
      <c r="BA70" s="333">
        <f ca="1">IF(TYPE(VLOOKUP($A70,'3.kolo'!$L$3:$L$66,1,0))&gt;3,IF(TYPE(VLOOKUP($A70,'3.kolo'!$O$3:$Q$66,3,0))&gt;3,0,VLOOKUP($A70,'3.kolo'!$O$3:$Q$66,3,0)),VLOOKUP($A70,'3.kolo'!$L$3:$N$66,3,0))</f>
        <v>0</v>
      </c>
      <c r="BB70" s="333">
        <f t="shared" ca="1" si="55"/>
        <v>0</v>
      </c>
      <c r="BC70" s="415" t="s">
        <v>2005</v>
      </c>
      <c r="BD70" s="442" t="str">
        <f ca="1">IF(BC70="","",CONCATENATE(TEXT($O70,"0"),IF(Start.listina!$Y$5="","",TEXT(500+$P70,"000")),TEXT(999999*RAND(),"000000")))</f>
        <v/>
      </c>
      <c r="BE70" s="333">
        <f t="shared" ca="1" si="38"/>
        <v>0</v>
      </c>
      <c r="BH70" s="333" t="str">
        <f ca="1">IF(TYPE(VLOOKUP($A70,'4.kolo'!$L$3:$L$66,1,0))&gt;3,IF(TYPE(VLOOKUP($A70,'4.kolo'!$K$3:$L$66,2,0))&gt;3,0,VLOOKUP($A70,'4.kolo'!$K$3:$L$66,2,0)),VLOOKUP($A70,'4.kolo'!$L$3:$O$66,4,0))</f>
        <v/>
      </c>
      <c r="BI70" s="333">
        <f ca="1">IF(TYPE(VLOOKUP($A70,'4.kolo'!$L$3:$L$66,1,0))&gt;3,IF(TYPE(VLOOKUP($A70,'4.kolo'!$O$3:$Q$66,2,0))&gt;3,0,VLOOKUP($A70,'4.kolo'!$O$3:$Q$66,2,0)),VLOOKUP($A70,'4.kolo'!$L$3:$N$66,2,0))</f>
        <v>0</v>
      </c>
      <c r="BJ70" s="333">
        <f ca="1">IF(TYPE(VLOOKUP($A70,'4.kolo'!$L$3:$L$66,1,0))&gt;3,IF(TYPE(VLOOKUP($A70,'4.kolo'!$O$3:$Q$66,3,0))&gt;3,0,VLOOKUP($A70,'4.kolo'!$O$3:$Q$66,3,0)),VLOOKUP($A70,'4.kolo'!$L$3:$N$66,3,0))</f>
        <v>0</v>
      </c>
      <c r="BK70" s="333">
        <f t="shared" ca="1" si="56"/>
        <v>0</v>
      </c>
      <c r="BL70" s="415" t="s">
        <v>2005</v>
      </c>
      <c r="BM70" s="442" t="str">
        <f ca="1">IF(BL70="","",CONCATENATE(TEXT($O70,"0"),IF(Start.listina!$Y$5="","",TEXT(500+$P70,"000")),TEXT(999999*RAND(),"000000")))</f>
        <v/>
      </c>
      <c r="BN70" s="333">
        <f t="shared" ca="1" si="39"/>
        <v>0</v>
      </c>
      <c r="BQ70" s="333" t="str">
        <f ca="1">IF(TYPE(VLOOKUP($A70,'5.kolo'!$L$3:$L$66,1,0))&gt;3,IF(TYPE(VLOOKUP($A70,'5.kolo'!$K$3:$L$66,2,0))&gt;3,0,VLOOKUP($A70,'5.kolo'!$K$3:$L$66,2,0)),VLOOKUP($A70,'5.kolo'!$L$3:$O$66,4,0))</f>
        <v/>
      </c>
      <c r="BR70" s="333">
        <f ca="1">IF(TYPE(VLOOKUP($A70,'5.kolo'!$L$3:$L$66,1,0))&gt;3,IF(TYPE(VLOOKUP($A70,'5.kolo'!$O$3:$Q$66,2,0))&gt;3,0,VLOOKUP($A70,'5.kolo'!$O$3:$Q$66,2,0)),VLOOKUP($A70,'5.kolo'!$L$3:$N$66,2,0))</f>
        <v>0</v>
      </c>
      <c r="BS70" s="333">
        <f ca="1">IF(TYPE(VLOOKUP($A70,'5.kolo'!$L$3:$L$66,1,0))&gt;3,IF(TYPE(VLOOKUP($A70,'5.kolo'!$O$3:$Q$66,3,0))&gt;3,0,VLOOKUP($A70,'5.kolo'!$O$3:$Q$66,3,0)),VLOOKUP($A70,'5.kolo'!$L$3:$N$66,3,0))</f>
        <v>0</v>
      </c>
      <c r="BT70" s="333">
        <f t="shared" ca="1" si="57"/>
        <v>0</v>
      </c>
      <c r="BU70" s="415"/>
      <c r="BV70" s="442" t="str">
        <f ca="1">IF(BU70="","",CONCATENATE(TEXT($O70,"0"),IF(Start.listina!$Y$5="","",TEXT(500+$P70,"000")),TEXT(999999*RAND(),"000000")))</f>
        <v/>
      </c>
      <c r="BW70" s="333">
        <f t="shared" ca="1" si="40"/>
        <v>0</v>
      </c>
      <c r="BZ70" s="333" t="str">
        <f ca="1">IF(TYPE(VLOOKUP($A70,'6.kolo'!$L$3:$L$66,1,0))&gt;3,IF(TYPE(VLOOKUP($A70,'6.kolo'!$K$3:$L$66,2,0))&gt;3,0,VLOOKUP($A70,'6.kolo'!$K$3:$L$66,2,0)),VLOOKUP($A70,'6.kolo'!$L$3:$O$66,4,0))</f>
        <v/>
      </c>
      <c r="CA70" s="333">
        <f ca="1">IF(TYPE(VLOOKUP($A70,'6.kolo'!$L$3:$L$66,1,0))&gt;3,IF(TYPE(VLOOKUP($A70,'6.kolo'!$O$3:$Q$66,2,0))&gt;3,0,VLOOKUP($A70,'6.kolo'!$O$3:$Q$66,2,0)),VLOOKUP($A70,'6.kolo'!$L$3:$N$66,2,0))</f>
        <v>0</v>
      </c>
      <c r="CB70" s="333">
        <f ca="1">IF(TYPE(VLOOKUP($A70,'6.kolo'!$L$3:$L$66,1,0))&gt;3,IF(TYPE(VLOOKUP($A70,'6.kolo'!$O$3:$Q$66,3,0))&gt;3,0,VLOOKUP($A70,'6.kolo'!$O$3:$Q$66,3,0)),VLOOKUP($A70,'6.kolo'!$L$3:$N$66,3,0))</f>
        <v>0</v>
      </c>
      <c r="CC70" s="333">
        <f t="shared" ca="1" si="58"/>
        <v>0</v>
      </c>
      <c r="CD70" s="415"/>
      <c r="CE70" s="442" t="str">
        <f ca="1">IF(CD70="","",CONCATENATE(TEXT($O70,"0"),IF(Start.listina!$Y$5="","",TEXT(500+$P70,"000")),TEXT(999999*RAND(),"000000")))</f>
        <v/>
      </c>
      <c r="CF70" s="333">
        <f t="shared" ca="1" si="41"/>
        <v>0</v>
      </c>
    </row>
    <row r="71" spans="1:84" x14ac:dyDescent="0.25">
      <c r="A71" s="333" t="str">
        <f>IF(OR(Start.listina!H79&gt;Start.listina!$K$7,Start.listina!G79=TRUE),"",Start.listina!H79)</f>
        <v/>
      </c>
      <c r="B71" s="333" t="str">
        <f>IF($A71&gt;Start.listina!$K$7,"",INT(($A71-1)/Start.listina!$O$7)+1)</f>
        <v/>
      </c>
      <c r="C71" s="439" t="str">
        <f>IF(OR(Start.listina!H79&gt;Start.listina!$K$7,Start.listina!G79=TRUE)," - ",Start.listina!AL79)</f>
        <v xml:space="preserve"> - </v>
      </c>
      <c r="D71" s="333" t="str">
        <f>IF(OR(A71&gt;Start.listina!$K$7,TYPE(VLOOKUP(A71,$V$3:$X$130,3,0))&gt;3),"",VLOOKUP(A71,$V$3:$X$130,3,0))</f>
        <v/>
      </c>
      <c r="E71" s="440" t="str">
        <f>IF(A71&gt;Start.listina!$K$7,"",IF(MIN(F71:K71)&gt;Start.listina!$Y$4,D71,MIN(F71:K71)))</f>
        <v/>
      </c>
      <c r="F71" s="333">
        <f ca="1">IF(TYPE(VLOOKUP(C71,Konečné_pořadí_1_16!$B$2:$D$17,3,0))&lt;4,VLOOKUP(C71,Konečné_pořadí_1_16!$B$2:$D$17,3,0),999)</f>
        <v>999</v>
      </c>
      <c r="G71" s="333">
        <f ca="1">IF(TYPE(VLOOKUP(C71,'KO64'!$D$4:$D$129,1,0))&lt;4,64,999)</f>
        <v>64</v>
      </c>
      <c r="H71" s="333">
        <f ca="1">IF(TYPE(VLOOKUP(C71,'KO32'!$D$4:$D$65,1,0))&lt;4,32,999)</f>
        <v>32</v>
      </c>
      <c r="I71" s="333">
        <f ca="1">IF(TYPE(VLOOKUP(C71,'KO16'!$D$4:$D$33,1,0))&lt;4,16,999)</f>
        <v>999</v>
      </c>
      <c r="J71" s="333">
        <f ca="1">IF(TYPE(VLOOKUP(C71,'KO8'!$D$4:$D$17,1,0))&lt;4,8,999)</f>
        <v>999</v>
      </c>
      <c r="K71" s="333">
        <f ca="1">IF(TYPE(VLOOKUP(C71,'KO4'!$D$4:$D$9,1,0))&lt;4,4,999)</f>
        <v>999</v>
      </c>
      <c r="M71" s="334">
        <v>69</v>
      </c>
      <c r="O71" s="333">
        <f t="shared" ca="1" si="42"/>
        <v>0</v>
      </c>
      <c r="P71" s="333">
        <f t="shared" ca="1" si="43"/>
        <v>0</v>
      </c>
      <c r="Q71" s="333">
        <f t="shared" ca="1" si="34"/>
        <v>2</v>
      </c>
      <c r="R71" s="333">
        <f t="shared" ca="1" si="35"/>
        <v>0</v>
      </c>
      <c r="S71" s="333">
        <f t="shared" ca="1" si="44"/>
        <v>16</v>
      </c>
      <c r="T71" s="333">
        <f t="shared" ca="1" si="45"/>
        <v>0</v>
      </c>
      <c r="U71" s="415">
        <f t="shared" si="59"/>
        <v>69</v>
      </c>
      <c r="V71" s="415" t="s">
        <v>2005</v>
      </c>
      <c r="W71" s="441" t="str">
        <f ca="1">IF($V71="","",CONCATENATE(TEXT($O71,"0"),IF(Start.listina!$Y$5="","",TEXT(500+$P71,"0000")),IF(Start.listina!$Y$6="","",CHOOSE(Start.listina!$Y$7,TEXT($Q71,"00"),CONCATENATE(TEXT($Q71,"00"),TEXT($S71,"000")), TEXT($R71,"00"))),TEXT(500+$P71,"0000"),IF(Start.listina!$Y$8="","",TEXT($T71,"0")),TEXT(999999*RAND(),"000000")))</f>
        <v/>
      </c>
      <c r="X71" s="417">
        <f t="shared" si="46"/>
        <v>69</v>
      </c>
      <c r="Y71" s="415">
        <f t="shared" ca="1" si="36"/>
        <v>0</v>
      </c>
      <c r="Z71" s="333">
        <f t="shared" ca="1" si="47"/>
        <v>51</v>
      </c>
      <c r="AA71" s="333" t="str">
        <f t="shared" ca="1" si="48"/>
        <v/>
      </c>
      <c r="AB71" s="333" t="str">
        <f t="shared" ca="1" si="49"/>
        <v/>
      </c>
      <c r="AC71" s="333" t="str">
        <f t="shared" ca="1" si="50"/>
        <v/>
      </c>
      <c r="AD71" s="333" t="str">
        <f t="shared" ca="1" si="51"/>
        <v/>
      </c>
      <c r="AE71" s="333" t="str">
        <f t="shared" ca="1" si="52"/>
        <v/>
      </c>
      <c r="AG71" s="333">
        <f ca="1">IF(TYPE(VLOOKUP($A71,'1.kolo'!$L$3:$L$66,1,0))&gt;3,VLOOKUP($A71,'1.kolo'!$K$3:$L$66,2,0),VLOOKUP($A71,'1.kolo'!$L$3:$O$66,4,0))</f>
        <v>51</v>
      </c>
      <c r="AH71" s="333">
        <f ca="1">IF(TYPE(VLOOKUP($A71,'1.kolo'!$L$3:$L$66,1,0))&gt;3,VLOOKUP($A71,'1.kolo'!$O$3:$Q$66,2,0),VLOOKUP($A71,'1.kolo'!$L$3:$N$66,2,0))</f>
        <v>0</v>
      </c>
      <c r="AI71" s="333">
        <f ca="1">IF(TYPE(VLOOKUP($A71,'1.kolo'!$L$3:$L$66,1,0))&gt;3,VLOOKUP($A71,'1.kolo'!$O$3:$Q$66,3,0),VLOOKUP($A71,'1.kolo'!$L$3:$N$66,3,0))</f>
        <v>0</v>
      </c>
      <c r="AJ71" s="333">
        <f t="shared" ca="1" si="53"/>
        <v>0</v>
      </c>
      <c r="AK71" s="333">
        <v>69</v>
      </c>
      <c r="AL71" s="442"/>
      <c r="AP71" s="333" t="str">
        <f ca="1">IF(TYPE(VLOOKUP($A71,'2.kolo'!$L$3:$L$66,1,0))&gt;3,IF(TYPE(VLOOKUP($A71,'2.kolo'!$K$3:$L$66,2,0))&gt;3,0,VLOOKUP($A71,'2.kolo'!$K$3:$L$66,2,0)),VLOOKUP($A71,'2.kolo'!$L$3:$O$66,4,0))</f>
        <v/>
      </c>
      <c r="AQ71" s="333">
        <f ca="1">IF(TYPE(VLOOKUP($A71,'2.kolo'!$L$3:$L$66,1,0))&gt;3,IF(TYPE(VLOOKUP($A71,'2.kolo'!$O$3:$Q$66,2,0))&gt;3,0,VLOOKUP($A71,'2.kolo'!$O$3:$Q$66,2,0)),VLOOKUP($A71,'2.kolo'!$L$3:$N$66,2,0))</f>
        <v>0</v>
      </c>
      <c r="AR71" s="333">
        <f ca="1">IF(TYPE(VLOOKUP($A71,'2.kolo'!$L$3:$L$66,1,0))&gt;3,IF(TYPE(VLOOKUP($A71,'2.kolo'!$O$3:$Q$66,3,0))&gt;3,0,VLOOKUP($A71,'2.kolo'!$O$3:$Q$66,3,0)),VLOOKUP($A71,'2.kolo'!$L$3:$N$66,3,0))</f>
        <v>0</v>
      </c>
      <c r="AS71" s="333">
        <f t="shared" ca="1" si="54"/>
        <v>0</v>
      </c>
      <c r="AT71" s="415" t="s">
        <v>2005</v>
      </c>
      <c r="AU71" s="442" t="str">
        <f ca="1">IF(AT71="","",CONCATENATE(TEXT($O71,"0"),IF(Start.listina!$Y$5="","",TEXT(500+$P71,"000")),TEXT(999999*RAND(),"000000")))</f>
        <v/>
      </c>
      <c r="AV71" s="333">
        <f t="shared" ca="1" si="37"/>
        <v>0</v>
      </c>
      <c r="AY71" s="333" t="str">
        <f ca="1">IF(TYPE(VLOOKUP($A71,'3.kolo'!$L$3:$L$66,1,0))&gt;3,IF(TYPE(VLOOKUP($A71,'3.kolo'!$K$3:$L$66,2,0))&gt;3,0,VLOOKUP($A71,'3.kolo'!$K$3:$L$66,2,0)),VLOOKUP($A71,'3.kolo'!$L$3:$O$66,4,0))</f>
        <v/>
      </c>
      <c r="AZ71" s="333">
        <f ca="1">IF(TYPE(VLOOKUP($A71,'3.kolo'!$L$3:$L$66,1,0))&gt;3,IF(TYPE(VLOOKUP($A71,'3.kolo'!$O$3:$Q$66,2,0))&gt;3,0,VLOOKUP($A71,'3.kolo'!$O$3:$Q$66,2,0)),VLOOKUP($A71,'3.kolo'!$L$3:$N$66,2,0))</f>
        <v>0</v>
      </c>
      <c r="BA71" s="333">
        <f ca="1">IF(TYPE(VLOOKUP($A71,'3.kolo'!$L$3:$L$66,1,0))&gt;3,IF(TYPE(VLOOKUP($A71,'3.kolo'!$O$3:$Q$66,3,0))&gt;3,0,VLOOKUP($A71,'3.kolo'!$O$3:$Q$66,3,0)),VLOOKUP($A71,'3.kolo'!$L$3:$N$66,3,0))</f>
        <v>0</v>
      </c>
      <c r="BB71" s="333">
        <f t="shared" ca="1" si="55"/>
        <v>0</v>
      </c>
      <c r="BC71" s="415" t="s">
        <v>2005</v>
      </c>
      <c r="BD71" s="442" t="str">
        <f ca="1">IF(BC71="","",CONCATENATE(TEXT($O71,"0"),IF(Start.listina!$Y$5="","",TEXT(500+$P71,"000")),TEXT(999999*RAND(),"000000")))</f>
        <v/>
      </c>
      <c r="BE71" s="333">
        <f t="shared" ca="1" si="38"/>
        <v>0</v>
      </c>
      <c r="BH71" s="333" t="str">
        <f ca="1">IF(TYPE(VLOOKUP($A71,'4.kolo'!$L$3:$L$66,1,0))&gt;3,IF(TYPE(VLOOKUP($A71,'4.kolo'!$K$3:$L$66,2,0))&gt;3,0,VLOOKUP($A71,'4.kolo'!$K$3:$L$66,2,0)),VLOOKUP($A71,'4.kolo'!$L$3:$O$66,4,0))</f>
        <v/>
      </c>
      <c r="BI71" s="333">
        <f ca="1">IF(TYPE(VLOOKUP($A71,'4.kolo'!$L$3:$L$66,1,0))&gt;3,IF(TYPE(VLOOKUP($A71,'4.kolo'!$O$3:$Q$66,2,0))&gt;3,0,VLOOKUP($A71,'4.kolo'!$O$3:$Q$66,2,0)),VLOOKUP($A71,'4.kolo'!$L$3:$N$66,2,0))</f>
        <v>0</v>
      </c>
      <c r="BJ71" s="333">
        <f ca="1">IF(TYPE(VLOOKUP($A71,'4.kolo'!$L$3:$L$66,1,0))&gt;3,IF(TYPE(VLOOKUP($A71,'4.kolo'!$O$3:$Q$66,3,0))&gt;3,0,VLOOKUP($A71,'4.kolo'!$O$3:$Q$66,3,0)),VLOOKUP($A71,'4.kolo'!$L$3:$N$66,3,0))</f>
        <v>0</v>
      </c>
      <c r="BK71" s="333">
        <f t="shared" ca="1" si="56"/>
        <v>0</v>
      </c>
      <c r="BL71" s="415" t="s">
        <v>2005</v>
      </c>
      <c r="BM71" s="442" t="str">
        <f ca="1">IF(BL71="","",CONCATENATE(TEXT($O71,"0"),IF(Start.listina!$Y$5="","",TEXT(500+$P71,"000")),TEXT(999999*RAND(),"000000")))</f>
        <v/>
      </c>
      <c r="BN71" s="333">
        <f t="shared" ca="1" si="39"/>
        <v>0</v>
      </c>
      <c r="BQ71" s="333" t="str">
        <f ca="1">IF(TYPE(VLOOKUP($A71,'5.kolo'!$L$3:$L$66,1,0))&gt;3,IF(TYPE(VLOOKUP($A71,'5.kolo'!$K$3:$L$66,2,0))&gt;3,0,VLOOKUP($A71,'5.kolo'!$K$3:$L$66,2,0)),VLOOKUP($A71,'5.kolo'!$L$3:$O$66,4,0))</f>
        <v/>
      </c>
      <c r="BR71" s="333">
        <f ca="1">IF(TYPE(VLOOKUP($A71,'5.kolo'!$L$3:$L$66,1,0))&gt;3,IF(TYPE(VLOOKUP($A71,'5.kolo'!$O$3:$Q$66,2,0))&gt;3,0,VLOOKUP($A71,'5.kolo'!$O$3:$Q$66,2,0)),VLOOKUP($A71,'5.kolo'!$L$3:$N$66,2,0))</f>
        <v>0</v>
      </c>
      <c r="BS71" s="333">
        <f ca="1">IF(TYPE(VLOOKUP($A71,'5.kolo'!$L$3:$L$66,1,0))&gt;3,IF(TYPE(VLOOKUP($A71,'5.kolo'!$O$3:$Q$66,3,0))&gt;3,0,VLOOKUP($A71,'5.kolo'!$O$3:$Q$66,3,0)),VLOOKUP($A71,'5.kolo'!$L$3:$N$66,3,0))</f>
        <v>0</v>
      </c>
      <c r="BT71" s="333">
        <f t="shared" ca="1" si="57"/>
        <v>0</v>
      </c>
      <c r="BU71" s="415"/>
      <c r="BV71" s="442" t="str">
        <f ca="1">IF(BU71="","",CONCATENATE(TEXT($O71,"0"),IF(Start.listina!$Y$5="","",TEXT(500+$P71,"000")),TEXT(999999*RAND(),"000000")))</f>
        <v/>
      </c>
      <c r="BW71" s="333">
        <f t="shared" ca="1" si="40"/>
        <v>0</v>
      </c>
      <c r="BZ71" s="333" t="str">
        <f ca="1">IF(TYPE(VLOOKUP($A71,'6.kolo'!$L$3:$L$66,1,0))&gt;3,IF(TYPE(VLOOKUP($A71,'6.kolo'!$K$3:$L$66,2,0))&gt;3,0,VLOOKUP($A71,'6.kolo'!$K$3:$L$66,2,0)),VLOOKUP($A71,'6.kolo'!$L$3:$O$66,4,0))</f>
        <v/>
      </c>
      <c r="CA71" s="333">
        <f ca="1">IF(TYPE(VLOOKUP($A71,'6.kolo'!$L$3:$L$66,1,0))&gt;3,IF(TYPE(VLOOKUP($A71,'6.kolo'!$O$3:$Q$66,2,0))&gt;3,0,VLOOKUP($A71,'6.kolo'!$O$3:$Q$66,2,0)),VLOOKUP($A71,'6.kolo'!$L$3:$N$66,2,0))</f>
        <v>0</v>
      </c>
      <c r="CB71" s="333">
        <f ca="1">IF(TYPE(VLOOKUP($A71,'6.kolo'!$L$3:$L$66,1,0))&gt;3,IF(TYPE(VLOOKUP($A71,'6.kolo'!$O$3:$Q$66,3,0))&gt;3,0,VLOOKUP($A71,'6.kolo'!$O$3:$Q$66,3,0)),VLOOKUP($A71,'6.kolo'!$L$3:$N$66,3,0))</f>
        <v>0</v>
      </c>
      <c r="CC71" s="333">
        <f t="shared" ca="1" si="58"/>
        <v>0</v>
      </c>
      <c r="CD71" s="415"/>
      <c r="CE71" s="442" t="str">
        <f ca="1">IF(CD71="","",CONCATENATE(TEXT($O71,"0"),IF(Start.listina!$Y$5="","",TEXT(500+$P71,"000")),TEXT(999999*RAND(),"000000")))</f>
        <v/>
      </c>
      <c r="CF71" s="333">
        <f t="shared" ca="1" si="41"/>
        <v>0</v>
      </c>
    </row>
    <row r="72" spans="1:84" x14ac:dyDescent="0.25">
      <c r="A72" s="333" t="str">
        <f>IF(OR(Start.listina!H80&gt;Start.listina!$K$7,Start.listina!G80=TRUE),"",Start.listina!H80)</f>
        <v/>
      </c>
      <c r="B72" s="333" t="str">
        <f>IF($A72&gt;Start.listina!$K$7,"",INT(($A72-1)/Start.listina!$O$7)+1)</f>
        <v/>
      </c>
      <c r="C72" s="439" t="str">
        <f>IF(OR(Start.listina!H80&gt;Start.listina!$K$7,Start.listina!G80=TRUE)," - ",Start.listina!AL80)</f>
        <v xml:space="preserve"> - </v>
      </c>
      <c r="D72" s="333" t="str">
        <f>IF(OR(A72&gt;Start.listina!$K$7,TYPE(VLOOKUP(A72,$V$3:$X$130,3,0))&gt;3),"",VLOOKUP(A72,$V$3:$X$130,3,0))</f>
        <v/>
      </c>
      <c r="E72" s="440" t="str">
        <f>IF(A72&gt;Start.listina!$K$7,"",IF(MIN(F72:K72)&gt;Start.listina!$Y$4,D72,MIN(F72:K72)))</f>
        <v/>
      </c>
      <c r="F72" s="333">
        <f ca="1">IF(TYPE(VLOOKUP(C72,Konečné_pořadí_1_16!$B$2:$D$17,3,0))&lt;4,VLOOKUP(C72,Konečné_pořadí_1_16!$B$2:$D$17,3,0),999)</f>
        <v>999</v>
      </c>
      <c r="G72" s="333">
        <f ca="1">IF(TYPE(VLOOKUP(C72,'KO64'!$D$4:$D$129,1,0))&lt;4,64,999)</f>
        <v>64</v>
      </c>
      <c r="H72" s="333">
        <f ca="1">IF(TYPE(VLOOKUP(C72,'KO32'!$D$4:$D$65,1,0))&lt;4,32,999)</f>
        <v>32</v>
      </c>
      <c r="I72" s="333">
        <f ca="1">IF(TYPE(VLOOKUP(C72,'KO16'!$D$4:$D$33,1,0))&lt;4,16,999)</f>
        <v>999</v>
      </c>
      <c r="J72" s="333">
        <f ca="1">IF(TYPE(VLOOKUP(C72,'KO8'!$D$4:$D$17,1,0))&lt;4,8,999)</f>
        <v>999</v>
      </c>
      <c r="K72" s="333">
        <f ca="1">IF(TYPE(VLOOKUP(C72,'KO4'!$D$4:$D$9,1,0))&lt;4,4,999)</f>
        <v>999</v>
      </c>
      <c r="M72" s="334">
        <v>70</v>
      </c>
      <c r="O72" s="333">
        <f t="shared" ca="1" si="42"/>
        <v>0</v>
      </c>
      <c r="P72" s="333">
        <f t="shared" ca="1" si="43"/>
        <v>0</v>
      </c>
      <c r="Q72" s="333">
        <f t="shared" ca="1" si="34"/>
        <v>2</v>
      </c>
      <c r="R72" s="333">
        <f t="shared" ca="1" si="35"/>
        <v>0</v>
      </c>
      <c r="S72" s="333">
        <f t="shared" ca="1" si="44"/>
        <v>16</v>
      </c>
      <c r="T72" s="333">
        <f t="shared" ca="1" si="45"/>
        <v>0</v>
      </c>
      <c r="U72" s="415">
        <f t="shared" si="59"/>
        <v>70</v>
      </c>
      <c r="V72" s="415" t="s">
        <v>2005</v>
      </c>
      <c r="W72" s="441" t="str">
        <f ca="1">IF($V72="","",CONCATENATE(TEXT($O72,"0"),IF(Start.listina!$Y$5="","",TEXT(500+$P72,"0000")),IF(Start.listina!$Y$6="","",CHOOSE(Start.listina!$Y$7,TEXT($Q72,"00"),CONCATENATE(TEXT($Q72,"00"),TEXT($S72,"000")), TEXT($R72,"00"))),TEXT(500+$P72,"0000"),IF(Start.listina!$Y$8="","",TEXT($T72,"0")),TEXT(999999*RAND(),"000000")))</f>
        <v/>
      </c>
      <c r="X72" s="417">
        <f t="shared" si="46"/>
        <v>70</v>
      </c>
      <c r="Y72" s="415">
        <f t="shared" ca="1" si="36"/>
        <v>0</v>
      </c>
      <c r="Z72" s="333">
        <f t="shared" ca="1" si="47"/>
        <v>51</v>
      </c>
      <c r="AA72" s="333" t="str">
        <f t="shared" ca="1" si="48"/>
        <v/>
      </c>
      <c r="AB72" s="333" t="str">
        <f t="shared" ca="1" si="49"/>
        <v/>
      </c>
      <c r="AC72" s="333" t="str">
        <f t="shared" ca="1" si="50"/>
        <v/>
      </c>
      <c r="AD72" s="333" t="str">
        <f t="shared" ca="1" si="51"/>
        <v/>
      </c>
      <c r="AE72" s="333" t="str">
        <f t="shared" ca="1" si="52"/>
        <v/>
      </c>
      <c r="AG72" s="333">
        <f ca="1">IF(TYPE(VLOOKUP($A72,'1.kolo'!$L$3:$L$66,1,0))&gt;3,VLOOKUP($A72,'1.kolo'!$K$3:$L$66,2,0),VLOOKUP($A72,'1.kolo'!$L$3:$O$66,4,0))</f>
        <v>51</v>
      </c>
      <c r="AH72" s="333">
        <f ca="1">IF(TYPE(VLOOKUP($A72,'1.kolo'!$L$3:$L$66,1,0))&gt;3,VLOOKUP($A72,'1.kolo'!$O$3:$Q$66,2,0),VLOOKUP($A72,'1.kolo'!$L$3:$N$66,2,0))</f>
        <v>0</v>
      </c>
      <c r="AI72" s="333">
        <f ca="1">IF(TYPE(VLOOKUP($A72,'1.kolo'!$L$3:$L$66,1,0))&gt;3,VLOOKUP($A72,'1.kolo'!$O$3:$Q$66,3,0),VLOOKUP($A72,'1.kolo'!$L$3:$N$66,3,0))</f>
        <v>0</v>
      </c>
      <c r="AJ72" s="333">
        <f t="shared" ca="1" si="53"/>
        <v>0</v>
      </c>
      <c r="AK72" s="333">
        <v>70</v>
      </c>
      <c r="AL72" s="442"/>
      <c r="AP72" s="333" t="str">
        <f ca="1">IF(TYPE(VLOOKUP($A72,'2.kolo'!$L$3:$L$66,1,0))&gt;3,IF(TYPE(VLOOKUP($A72,'2.kolo'!$K$3:$L$66,2,0))&gt;3,0,VLOOKUP($A72,'2.kolo'!$K$3:$L$66,2,0)),VLOOKUP($A72,'2.kolo'!$L$3:$O$66,4,0))</f>
        <v/>
      </c>
      <c r="AQ72" s="333">
        <f ca="1">IF(TYPE(VLOOKUP($A72,'2.kolo'!$L$3:$L$66,1,0))&gt;3,IF(TYPE(VLOOKUP($A72,'2.kolo'!$O$3:$Q$66,2,0))&gt;3,0,VLOOKUP($A72,'2.kolo'!$O$3:$Q$66,2,0)),VLOOKUP($A72,'2.kolo'!$L$3:$N$66,2,0))</f>
        <v>0</v>
      </c>
      <c r="AR72" s="333">
        <f ca="1">IF(TYPE(VLOOKUP($A72,'2.kolo'!$L$3:$L$66,1,0))&gt;3,IF(TYPE(VLOOKUP($A72,'2.kolo'!$O$3:$Q$66,3,0))&gt;3,0,VLOOKUP($A72,'2.kolo'!$O$3:$Q$66,3,0)),VLOOKUP($A72,'2.kolo'!$L$3:$N$66,3,0))</f>
        <v>0</v>
      </c>
      <c r="AS72" s="333">
        <f t="shared" ca="1" si="54"/>
        <v>0</v>
      </c>
      <c r="AT72" s="415" t="s">
        <v>2005</v>
      </c>
      <c r="AU72" s="442" t="str">
        <f ca="1">IF(AT72="","",CONCATENATE(TEXT($O72,"0"),IF(Start.listina!$Y$5="","",TEXT(500+$P72,"000")),TEXT(999999*RAND(),"000000")))</f>
        <v/>
      </c>
      <c r="AV72" s="333">
        <f t="shared" ca="1" si="37"/>
        <v>0</v>
      </c>
      <c r="AY72" s="333" t="str">
        <f ca="1">IF(TYPE(VLOOKUP($A72,'3.kolo'!$L$3:$L$66,1,0))&gt;3,IF(TYPE(VLOOKUP($A72,'3.kolo'!$K$3:$L$66,2,0))&gt;3,0,VLOOKUP($A72,'3.kolo'!$K$3:$L$66,2,0)),VLOOKUP($A72,'3.kolo'!$L$3:$O$66,4,0))</f>
        <v/>
      </c>
      <c r="AZ72" s="333">
        <f ca="1">IF(TYPE(VLOOKUP($A72,'3.kolo'!$L$3:$L$66,1,0))&gt;3,IF(TYPE(VLOOKUP($A72,'3.kolo'!$O$3:$Q$66,2,0))&gt;3,0,VLOOKUP($A72,'3.kolo'!$O$3:$Q$66,2,0)),VLOOKUP($A72,'3.kolo'!$L$3:$N$66,2,0))</f>
        <v>0</v>
      </c>
      <c r="BA72" s="333">
        <f ca="1">IF(TYPE(VLOOKUP($A72,'3.kolo'!$L$3:$L$66,1,0))&gt;3,IF(TYPE(VLOOKUP($A72,'3.kolo'!$O$3:$Q$66,3,0))&gt;3,0,VLOOKUP($A72,'3.kolo'!$O$3:$Q$66,3,0)),VLOOKUP($A72,'3.kolo'!$L$3:$N$66,3,0))</f>
        <v>0</v>
      </c>
      <c r="BB72" s="333">
        <f t="shared" ca="1" si="55"/>
        <v>0</v>
      </c>
      <c r="BC72" s="415" t="s">
        <v>2005</v>
      </c>
      <c r="BD72" s="442" t="str">
        <f ca="1">IF(BC72="","",CONCATENATE(TEXT($O72,"0"),IF(Start.listina!$Y$5="","",TEXT(500+$P72,"000")),TEXT(999999*RAND(),"000000")))</f>
        <v/>
      </c>
      <c r="BE72" s="333">
        <f t="shared" ca="1" si="38"/>
        <v>0</v>
      </c>
      <c r="BH72" s="333" t="str">
        <f ca="1">IF(TYPE(VLOOKUP($A72,'4.kolo'!$L$3:$L$66,1,0))&gt;3,IF(TYPE(VLOOKUP($A72,'4.kolo'!$K$3:$L$66,2,0))&gt;3,0,VLOOKUP($A72,'4.kolo'!$K$3:$L$66,2,0)),VLOOKUP($A72,'4.kolo'!$L$3:$O$66,4,0))</f>
        <v/>
      </c>
      <c r="BI72" s="333">
        <f ca="1">IF(TYPE(VLOOKUP($A72,'4.kolo'!$L$3:$L$66,1,0))&gt;3,IF(TYPE(VLOOKUP($A72,'4.kolo'!$O$3:$Q$66,2,0))&gt;3,0,VLOOKUP($A72,'4.kolo'!$O$3:$Q$66,2,0)),VLOOKUP($A72,'4.kolo'!$L$3:$N$66,2,0))</f>
        <v>0</v>
      </c>
      <c r="BJ72" s="333">
        <f ca="1">IF(TYPE(VLOOKUP($A72,'4.kolo'!$L$3:$L$66,1,0))&gt;3,IF(TYPE(VLOOKUP($A72,'4.kolo'!$O$3:$Q$66,3,0))&gt;3,0,VLOOKUP($A72,'4.kolo'!$O$3:$Q$66,3,0)),VLOOKUP($A72,'4.kolo'!$L$3:$N$66,3,0))</f>
        <v>0</v>
      </c>
      <c r="BK72" s="333">
        <f t="shared" ca="1" si="56"/>
        <v>0</v>
      </c>
      <c r="BL72" s="415" t="s">
        <v>2005</v>
      </c>
      <c r="BM72" s="442" t="str">
        <f ca="1">IF(BL72="","",CONCATENATE(TEXT($O72,"0"),IF(Start.listina!$Y$5="","",TEXT(500+$P72,"000")),TEXT(999999*RAND(),"000000")))</f>
        <v/>
      </c>
      <c r="BN72" s="333">
        <f t="shared" ca="1" si="39"/>
        <v>0</v>
      </c>
      <c r="BQ72" s="333" t="str">
        <f ca="1">IF(TYPE(VLOOKUP($A72,'5.kolo'!$L$3:$L$66,1,0))&gt;3,IF(TYPE(VLOOKUP($A72,'5.kolo'!$K$3:$L$66,2,0))&gt;3,0,VLOOKUP($A72,'5.kolo'!$K$3:$L$66,2,0)),VLOOKUP($A72,'5.kolo'!$L$3:$O$66,4,0))</f>
        <v/>
      </c>
      <c r="BR72" s="333">
        <f ca="1">IF(TYPE(VLOOKUP($A72,'5.kolo'!$L$3:$L$66,1,0))&gt;3,IF(TYPE(VLOOKUP($A72,'5.kolo'!$O$3:$Q$66,2,0))&gt;3,0,VLOOKUP($A72,'5.kolo'!$O$3:$Q$66,2,0)),VLOOKUP($A72,'5.kolo'!$L$3:$N$66,2,0))</f>
        <v>0</v>
      </c>
      <c r="BS72" s="333">
        <f ca="1">IF(TYPE(VLOOKUP($A72,'5.kolo'!$L$3:$L$66,1,0))&gt;3,IF(TYPE(VLOOKUP($A72,'5.kolo'!$O$3:$Q$66,3,0))&gt;3,0,VLOOKUP($A72,'5.kolo'!$O$3:$Q$66,3,0)),VLOOKUP($A72,'5.kolo'!$L$3:$N$66,3,0))</f>
        <v>0</v>
      </c>
      <c r="BT72" s="333">
        <f t="shared" ca="1" si="57"/>
        <v>0</v>
      </c>
      <c r="BU72" s="415"/>
      <c r="BV72" s="442" t="str">
        <f ca="1">IF(BU72="","",CONCATENATE(TEXT($O72,"0"),IF(Start.listina!$Y$5="","",TEXT(500+$P72,"000")),TEXT(999999*RAND(),"000000")))</f>
        <v/>
      </c>
      <c r="BW72" s="333">
        <f t="shared" ca="1" si="40"/>
        <v>0</v>
      </c>
      <c r="BZ72" s="333" t="str">
        <f ca="1">IF(TYPE(VLOOKUP($A72,'6.kolo'!$L$3:$L$66,1,0))&gt;3,IF(TYPE(VLOOKUP($A72,'6.kolo'!$K$3:$L$66,2,0))&gt;3,0,VLOOKUP($A72,'6.kolo'!$K$3:$L$66,2,0)),VLOOKUP($A72,'6.kolo'!$L$3:$O$66,4,0))</f>
        <v/>
      </c>
      <c r="CA72" s="333">
        <f ca="1">IF(TYPE(VLOOKUP($A72,'6.kolo'!$L$3:$L$66,1,0))&gt;3,IF(TYPE(VLOOKUP($A72,'6.kolo'!$O$3:$Q$66,2,0))&gt;3,0,VLOOKUP($A72,'6.kolo'!$O$3:$Q$66,2,0)),VLOOKUP($A72,'6.kolo'!$L$3:$N$66,2,0))</f>
        <v>0</v>
      </c>
      <c r="CB72" s="333">
        <f ca="1">IF(TYPE(VLOOKUP($A72,'6.kolo'!$L$3:$L$66,1,0))&gt;3,IF(TYPE(VLOOKUP($A72,'6.kolo'!$O$3:$Q$66,3,0))&gt;3,0,VLOOKUP($A72,'6.kolo'!$O$3:$Q$66,3,0)),VLOOKUP($A72,'6.kolo'!$L$3:$N$66,3,0))</f>
        <v>0</v>
      </c>
      <c r="CC72" s="333">
        <f t="shared" ca="1" si="58"/>
        <v>0</v>
      </c>
      <c r="CD72" s="415"/>
      <c r="CE72" s="442" t="str">
        <f ca="1">IF(CD72="","",CONCATENATE(TEXT($O72,"0"),IF(Start.listina!$Y$5="","",TEXT(500+$P72,"000")),TEXT(999999*RAND(),"000000")))</f>
        <v/>
      </c>
      <c r="CF72" s="333">
        <f t="shared" ca="1" si="41"/>
        <v>0</v>
      </c>
    </row>
    <row r="73" spans="1:84" x14ac:dyDescent="0.25">
      <c r="A73" s="333" t="str">
        <f>IF(OR(Start.listina!H81&gt;Start.listina!$K$7,Start.listina!G81=TRUE),"",Start.listina!H81)</f>
        <v/>
      </c>
      <c r="B73" s="333" t="str">
        <f>IF($A73&gt;Start.listina!$K$7,"",INT(($A73-1)/Start.listina!$O$7)+1)</f>
        <v/>
      </c>
      <c r="C73" s="439" t="str">
        <f>IF(OR(Start.listina!H81&gt;Start.listina!$K$7,Start.listina!G81=TRUE)," - ",Start.listina!AL81)</f>
        <v xml:space="preserve"> - </v>
      </c>
      <c r="D73" s="333" t="str">
        <f>IF(OR(A73&gt;Start.listina!$K$7,TYPE(VLOOKUP(A73,$V$3:$X$130,3,0))&gt;3),"",VLOOKUP(A73,$V$3:$X$130,3,0))</f>
        <v/>
      </c>
      <c r="E73" s="440" t="str">
        <f>IF(A73&gt;Start.listina!$K$7,"",IF(MIN(F73:K73)&gt;Start.listina!$Y$4,D73,MIN(F73:K73)))</f>
        <v/>
      </c>
      <c r="F73" s="333">
        <f ca="1">IF(TYPE(VLOOKUP(C73,Konečné_pořadí_1_16!$B$2:$D$17,3,0))&lt;4,VLOOKUP(C73,Konečné_pořadí_1_16!$B$2:$D$17,3,0),999)</f>
        <v>999</v>
      </c>
      <c r="G73" s="333">
        <f ca="1">IF(TYPE(VLOOKUP(C73,'KO64'!$D$4:$D$129,1,0))&lt;4,64,999)</f>
        <v>64</v>
      </c>
      <c r="H73" s="333">
        <f ca="1">IF(TYPE(VLOOKUP(C73,'KO32'!$D$4:$D$65,1,0))&lt;4,32,999)</f>
        <v>32</v>
      </c>
      <c r="I73" s="333">
        <f ca="1">IF(TYPE(VLOOKUP(C73,'KO16'!$D$4:$D$33,1,0))&lt;4,16,999)</f>
        <v>999</v>
      </c>
      <c r="J73" s="333">
        <f ca="1">IF(TYPE(VLOOKUP(C73,'KO8'!$D$4:$D$17,1,0))&lt;4,8,999)</f>
        <v>999</v>
      </c>
      <c r="K73" s="333">
        <f ca="1">IF(TYPE(VLOOKUP(C73,'KO4'!$D$4:$D$9,1,0))&lt;4,4,999)</f>
        <v>999</v>
      </c>
      <c r="M73" s="334">
        <v>71</v>
      </c>
      <c r="O73" s="333">
        <f t="shared" ca="1" si="42"/>
        <v>0</v>
      </c>
      <c r="P73" s="333">
        <f t="shared" ca="1" si="43"/>
        <v>0</v>
      </c>
      <c r="Q73" s="333">
        <f t="shared" ca="1" si="34"/>
        <v>2</v>
      </c>
      <c r="R73" s="333">
        <f t="shared" ca="1" si="35"/>
        <v>0</v>
      </c>
      <c r="S73" s="333">
        <f t="shared" ca="1" si="44"/>
        <v>16</v>
      </c>
      <c r="T73" s="333">
        <f t="shared" ca="1" si="45"/>
        <v>0</v>
      </c>
      <c r="U73" s="415">
        <f t="shared" si="59"/>
        <v>71</v>
      </c>
      <c r="V73" s="415" t="s">
        <v>2005</v>
      </c>
      <c r="W73" s="441" t="str">
        <f ca="1">IF($V73="","",CONCATENATE(TEXT($O73,"0"),IF(Start.listina!$Y$5="","",TEXT(500+$P73,"0000")),IF(Start.listina!$Y$6="","",CHOOSE(Start.listina!$Y$7,TEXT($Q73,"00"),CONCATENATE(TEXT($Q73,"00"),TEXT($S73,"000")), TEXT($R73,"00"))),TEXT(500+$P73,"0000"),IF(Start.listina!$Y$8="","",TEXT($T73,"0")),TEXT(999999*RAND(),"000000")))</f>
        <v/>
      </c>
      <c r="X73" s="417">
        <f t="shared" si="46"/>
        <v>71</v>
      </c>
      <c r="Y73" s="415">
        <f t="shared" ca="1" si="36"/>
        <v>0</v>
      </c>
      <c r="Z73" s="333">
        <f t="shared" ca="1" si="47"/>
        <v>51</v>
      </c>
      <c r="AA73" s="333" t="str">
        <f t="shared" ca="1" si="48"/>
        <v/>
      </c>
      <c r="AB73" s="333" t="str">
        <f t="shared" ca="1" si="49"/>
        <v/>
      </c>
      <c r="AC73" s="333" t="str">
        <f t="shared" ca="1" si="50"/>
        <v/>
      </c>
      <c r="AD73" s="333" t="str">
        <f t="shared" ca="1" si="51"/>
        <v/>
      </c>
      <c r="AE73" s="333" t="str">
        <f t="shared" ca="1" si="52"/>
        <v/>
      </c>
      <c r="AG73" s="333">
        <f ca="1">IF(TYPE(VLOOKUP($A73,'1.kolo'!$L$3:$L$66,1,0))&gt;3,VLOOKUP($A73,'1.kolo'!$K$3:$L$66,2,0),VLOOKUP($A73,'1.kolo'!$L$3:$O$66,4,0))</f>
        <v>51</v>
      </c>
      <c r="AH73" s="333">
        <f ca="1">IF(TYPE(VLOOKUP($A73,'1.kolo'!$L$3:$L$66,1,0))&gt;3,VLOOKUP($A73,'1.kolo'!$O$3:$Q$66,2,0),VLOOKUP($A73,'1.kolo'!$L$3:$N$66,2,0))</f>
        <v>0</v>
      </c>
      <c r="AI73" s="333">
        <f ca="1">IF(TYPE(VLOOKUP($A73,'1.kolo'!$L$3:$L$66,1,0))&gt;3,VLOOKUP($A73,'1.kolo'!$O$3:$Q$66,3,0),VLOOKUP($A73,'1.kolo'!$L$3:$N$66,3,0))</f>
        <v>0</v>
      </c>
      <c r="AJ73" s="333">
        <f t="shared" ca="1" si="53"/>
        <v>0</v>
      </c>
      <c r="AK73" s="333">
        <v>71</v>
      </c>
      <c r="AL73" s="442"/>
      <c r="AP73" s="333" t="str">
        <f ca="1">IF(TYPE(VLOOKUP($A73,'2.kolo'!$L$3:$L$66,1,0))&gt;3,IF(TYPE(VLOOKUP($A73,'2.kolo'!$K$3:$L$66,2,0))&gt;3,0,VLOOKUP($A73,'2.kolo'!$K$3:$L$66,2,0)),VLOOKUP($A73,'2.kolo'!$L$3:$O$66,4,0))</f>
        <v/>
      </c>
      <c r="AQ73" s="333">
        <f ca="1">IF(TYPE(VLOOKUP($A73,'2.kolo'!$L$3:$L$66,1,0))&gt;3,IF(TYPE(VLOOKUP($A73,'2.kolo'!$O$3:$Q$66,2,0))&gt;3,0,VLOOKUP($A73,'2.kolo'!$O$3:$Q$66,2,0)),VLOOKUP($A73,'2.kolo'!$L$3:$N$66,2,0))</f>
        <v>0</v>
      </c>
      <c r="AR73" s="333">
        <f ca="1">IF(TYPE(VLOOKUP($A73,'2.kolo'!$L$3:$L$66,1,0))&gt;3,IF(TYPE(VLOOKUP($A73,'2.kolo'!$O$3:$Q$66,3,0))&gt;3,0,VLOOKUP($A73,'2.kolo'!$O$3:$Q$66,3,0)),VLOOKUP($A73,'2.kolo'!$L$3:$N$66,3,0))</f>
        <v>0</v>
      </c>
      <c r="AS73" s="333">
        <f t="shared" ca="1" si="54"/>
        <v>0</v>
      </c>
      <c r="AT73" s="415" t="s">
        <v>2005</v>
      </c>
      <c r="AU73" s="442" t="str">
        <f ca="1">IF(AT73="","",CONCATENATE(TEXT($O73,"0"),IF(Start.listina!$Y$5="","",TEXT(500+$P73,"000")),TEXT(999999*RAND(),"000000")))</f>
        <v/>
      </c>
      <c r="AV73" s="333">
        <f t="shared" ca="1" si="37"/>
        <v>0</v>
      </c>
      <c r="AY73" s="333" t="str">
        <f ca="1">IF(TYPE(VLOOKUP($A73,'3.kolo'!$L$3:$L$66,1,0))&gt;3,IF(TYPE(VLOOKUP($A73,'3.kolo'!$K$3:$L$66,2,0))&gt;3,0,VLOOKUP($A73,'3.kolo'!$K$3:$L$66,2,0)),VLOOKUP($A73,'3.kolo'!$L$3:$O$66,4,0))</f>
        <v/>
      </c>
      <c r="AZ73" s="333">
        <f ca="1">IF(TYPE(VLOOKUP($A73,'3.kolo'!$L$3:$L$66,1,0))&gt;3,IF(TYPE(VLOOKUP($A73,'3.kolo'!$O$3:$Q$66,2,0))&gt;3,0,VLOOKUP($A73,'3.kolo'!$O$3:$Q$66,2,0)),VLOOKUP($A73,'3.kolo'!$L$3:$N$66,2,0))</f>
        <v>0</v>
      </c>
      <c r="BA73" s="333">
        <f ca="1">IF(TYPE(VLOOKUP($A73,'3.kolo'!$L$3:$L$66,1,0))&gt;3,IF(TYPE(VLOOKUP($A73,'3.kolo'!$O$3:$Q$66,3,0))&gt;3,0,VLOOKUP($A73,'3.kolo'!$O$3:$Q$66,3,0)),VLOOKUP($A73,'3.kolo'!$L$3:$N$66,3,0))</f>
        <v>0</v>
      </c>
      <c r="BB73" s="333">
        <f t="shared" ca="1" si="55"/>
        <v>0</v>
      </c>
      <c r="BC73" s="415" t="s">
        <v>2005</v>
      </c>
      <c r="BD73" s="442" t="str">
        <f ca="1">IF(BC73="","",CONCATENATE(TEXT($O73,"0"),IF(Start.listina!$Y$5="","",TEXT(500+$P73,"000")),TEXT(999999*RAND(),"000000")))</f>
        <v/>
      </c>
      <c r="BE73" s="333">
        <f t="shared" ca="1" si="38"/>
        <v>0</v>
      </c>
      <c r="BH73" s="333" t="str">
        <f ca="1">IF(TYPE(VLOOKUP($A73,'4.kolo'!$L$3:$L$66,1,0))&gt;3,IF(TYPE(VLOOKUP($A73,'4.kolo'!$K$3:$L$66,2,0))&gt;3,0,VLOOKUP($A73,'4.kolo'!$K$3:$L$66,2,0)),VLOOKUP($A73,'4.kolo'!$L$3:$O$66,4,0))</f>
        <v/>
      </c>
      <c r="BI73" s="333">
        <f ca="1">IF(TYPE(VLOOKUP($A73,'4.kolo'!$L$3:$L$66,1,0))&gt;3,IF(TYPE(VLOOKUP($A73,'4.kolo'!$O$3:$Q$66,2,0))&gt;3,0,VLOOKUP($A73,'4.kolo'!$O$3:$Q$66,2,0)),VLOOKUP($A73,'4.kolo'!$L$3:$N$66,2,0))</f>
        <v>0</v>
      </c>
      <c r="BJ73" s="333">
        <f ca="1">IF(TYPE(VLOOKUP($A73,'4.kolo'!$L$3:$L$66,1,0))&gt;3,IF(TYPE(VLOOKUP($A73,'4.kolo'!$O$3:$Q$66,3,0))&gt;3,0,VLOOKUP($A73,'4.kolo'!$O$3:$Q$66,3,0)),VLOOKUP($A73,'4.kolo'!$L$3:$N$66,3,0))</f>
        <v>0</v>
      </c>
      <c r="BK73" s="333">
        <f t="shared" ca="1" si="56"/>
        <v>0</v>
      </c>
      <c r="BL73" s="415" t="s">
        <v>2005</v>
      </c>
      <c r="BM73" s="442" t="str">
        <f ca="1">IF(BL73="","",CONCATENATE(TEXT($O73,"0"),IF(Start.listina!$Y$5="","",TEXT(500+$P73,"000")),TEXT(999999*RAND(),"000000")))</f>
        <v/>
      </c>
      <c r="BN73" s="333">
        <f t="shared" ca="1" si="39"/>
        <v>0</v>
      </c>
      <c r="BQ73" s="333" t="str">
        <f ca="1">IF(TYPE(VLOOKUP($A73,'5.kolo'!$L$3:$L$66,1,0))&gt;3,IF(TYPE(VLOOKUP($A73,'5.kolo'!$K$3:$L$66,2,0))&gt;3,0,VLOOKUP($A73,'5.kolo'!$K$3:$L$66,2,0)),VLOOKUP($A73,'5.kolo'!$L$3:$O$66,4,0))</f>
        <v/>
      </c>
      <c r="BR73" s="333">
        <f ca="1">IF(TYPE(VLOOKUP($A73,'5.kolo'!$L$3:$L$66,1,0))&gt;3,IF(TYPE(VLOOKUP($A73,'5.kolo'!$O$3:$Q$66,2,0))&gt;3,0,VLOOKUP($A73,'5.kolo'!$O$3:$Q$66,2,0)),VLOOKUP($A73,'5.kolo'!$L$3:$N$66,2,0))</f>
        <v>0</v>
      </c>
      <c r="BS73" s="333">
        <f ca="1">IF(TYPE(VLOOKUP($A73,'5.kolo'!$L$3:$L$66,1,0))&gt;3,IF(TYPE(VLOOKUP($A73,'5.kolo'!$O$3:$Q$66,3,0))&gt;3,0,VLOOKUP($A73,'5.kolo'!$O$3:$Q$66,3,0)),VLOOKUP($A73,'5.kolo'!$L$3:$N$66,3,0))</f>
        <v>0</v>
      </c>
      <c r="BT73" s="333">
        <f t="shared" ca="1" si="57"/>
        <v>0</v>
      </c>
      <c r="BU73" s="415"/>
      <c r="BV73" s="442" t="str">
        <f ca="1">IF(BU73="","",CONCATENATE(TEXT($O73,"0"),IF(Start.listina!$Y$5="","",TEXT(500+$P73,"000")),TEXT(999999*RAND(),"000000")))</f>
        <v/>
      </c>
      <c r="BW73" s="333">
        <f t="shared" ca="1" si="40"/>
        <v>0</v>
      </c>
      <c r="BZ73" s="333" t="str">
        <f ca="1">IF(TYPE(VLOOKUP($A73,'6.kolo'!$L$3:$L$66,1,0))&gt;3,IF(TYPE(VLOOKUP($A73,'6.kolo'!$K$3:$L$66,2,0))&gt;3,0,VLOOKUP($A73,'6.kolo'!$K$3:$L$66,2,0)),VLOOKUP($A73,'6.kolo'!$L$3:$O$66,4,0))</f>
        <v/>
      </c>
      <c r="CA73" s="333">
        <f ca="1">IF(TYPE(VLOOKUP($A73,'6.kolo'!$L$3:$L$66,1,0))&gt;3,IF(TYPE(VLOOKUP($A73,'6.kolo'!$O$3:$Q$66,2,0))&gt;3,0,VLOOKUP($A73,'6.kolo'!$O$3:$Q$66,2,0)),VLOOKUP($A73,'6.kolo'!$L$3:$N$66,2,0))</f>
        <v>0</v>
      </c>
      <c r="CB73" s="333">
        <f ca="1">IF(TYPE(VLOOKUP($A73,'6.kolo'!$L$3:$L$66,1,0))&gt;3,IF(TYPE(VLOOKUP($A73,'6.kolo'!$O$3:$Q$66,3,0))&gt;3,0,VLOOKUP($A73,'6.kolo'!$O$3:$Q$66,3,0)),VLOOKUP($A73,'6.kolo'!$L$3:$N$66,3,0))</f>
        <v>0</v>
      </c>
      <c r="CC73" s="333">
        <f t="shared" ca="1" si="58"/>
        <v>0</v>
      </c>
      <c r="CD73" s="415"/>
      <c r="CE73" s="442" t="str">
        <f ca="1">IF(CD73="","",CONCATENATE(TEXT($O73,"0"),IF(Start.listina!$Y$5="","",TEXT(500+$P73,"000")),TEXT(999999*RAND(),"000000")))</f>
        <v/>
      </c>
      <c r="CF73" s="333">
        <f t="shared" ca="1" si="41"/>
        <v>0</v>
      </c>
    </row>
    <row r="74" spans="1:84" x14ac:dyDescent="0.25">
      <c r="A74" s="333" t="str">
        <f>IF(OR(Start.listina!H82&gt;Start.listina!$K$7,Start.listina!G82=TRUE),"",Start.listina!H82)</f>
        <v/>
      </c>
      <c r="B74" s="333" t="str">
        <f>IF($A74&gt;Start.listina!$K$7,"",INT(($A74-1)/Start.listina!$O$7)+1)</f>
        <v/>
      </c>
      <c r="C74" s="439" t="str">
        <f>IF(OR(Start.listina!H82&gt;Start.listina!$K$7,Start.listina!G82=TRUE)," - ",Start.listina!AL82)</f>
        <v xml:space="preserve"> - </v>
      </c>
      <c r="D74" s="333" t="str">
        <f>IF(OR(A74&gt;Start.listina!$K$7,TYPE(VLOOKUP(A74,$V$3:$X$130,3,0))&gt;3),"",VLOOKUP(A74,$V$3:$X$130,3,0))</f>
        <v/>
      </c>
      <c r="E74" s="440" t="str">
        <f>IF(A74&gt;Start.listina!$K$7,"",IF(MIN(F74:K74)&gt;Start.listina!$Y$4,D74,MIN(F74:K74)))</f>
        <v/>
      </c>
      <c r="F74" s="333">
        <f ca="1">IF(TYPE(VLOOKUP(C74,Konečné_pořadí_1_16!$B$2:$D$17,3,0))&lt;4,VLOOKUP(C74,Konečné_pořadí_1_16!$B$2:$D$17,3,0),999)</f>
        <v>999</v>
      </c>
      <c r="G74" s="333">
        <f ca="1">IF(TYPE(VLOOKUP(C74,'KO64'!$D$4:$D$129,1,0))&lt;4,64,999)</f>
        <v>64</v>
      </c>
      <c r="H74" s="333">
        <f ca="1">IF(TYPE(VLOOKUP(C74,'KO32'!$D$4:$D$65,1,0))&lt;4,32,999)</f>
        <v>32</v>
      </c>
      <c r="I74" s="333">
        <f ca="1">IF(TYPE(VLOOKUP(C74,'KO16'!$D$4:$D$33,1,0))&lt;4,16,999)</f>
        <v>999</v>
      </c>
      <c r="J74" s="333">
        <f ca="1">IF(TYPE(VLOOKUP(C74,'KO8'!$D$4:$D$17,1,0))&lt;4,8,999)</f>
        <v>999</v>
      </c>
      <c r="K74" s="333">
        <f ca="1">IF(TYPE(VLOOKUP(C74,'KO4'!$D$4:$D$9,1,0))&lt;4,4,999)</f>
        <v>999</v>
      </c>
      <c r="M74" s="334">
        <v>72</v>
      </c>
      <c r="O74" s="333">
        <f t="shared" ca="1" si="42"/>
        <v>0</v>
      </c>
      <c r="P74" s="333">
        <f t="shared" ca="1" si="43"/>
        <v>0</v>
      </c>
      <c r="Q74" s="333">
        <f t="shared" ca="1" si="34"/>
        <v>2</v>
      </c>
      <c r="R74" s="333">
        <f t="shared" ca="1" si="35"/>
        <v>0</v>
      </c>
      <c r="S74" s="333">
        <f t="shared" ca="1" si="44"/>
        <v>16</v>
      </c>
      <c r="T74" s="333">
        <f t="shared" ca="1" si="45"/>
        <v>0</v>
      </c>
      <c r="U74" s="415">
        <f t="shared" si="59"/>
        <v>72</v>
      </c>
      <c r="V74" s="415" t="s">
        <v>2005</v>
      </c>
      <c r="W74" s="441" t="str">
        <f ca="1">IF($V74="","",CONCATENATE(TEXT($O74,"0"),IF(Start.listina!$Y$5="","",TEXT(500+$P74,"0000")),IF(Start.listina!$Y$6="","",CHOOSE(Start.listina!$Y$7,TEXT($Q74,"00"),CONCATENATE(TEXT($Q74,"00"),TEXT($S74,"000")), TEXT($R74,"00"))),TEXT(500+$P74,"0000"),IF(Start.listina!$Y$8="","",TEXT($T74,"0")),TEXT(999999*RAND(),"000000")))</f>
        <v/>
      </c>
      <c r="X74" s="417">
        <f t="shared" si="46"/>
        <v>72</v>
      </c>
      <c r="Y74" s="415">
        <f t="shared" ca="1" si="36"/>
        <v>0</v>
      </c>
      <c r="Z74" s="333">
        <f t="shared" ca="1" si="47"/>
        <v>51</v>
      </c>
      <c r="AA74" s="333" t="str">
        <f t="shared" ca="1" si="48"/>
        <v/>
      </c>
      <c r="AB74" s="333" t="str">
        <f t="shared" ca="1" si="49"/>
        <v/>
      </c>
      <c r="AC74" s="333" t="str">
        <f t="shared" ca="1" si="50"/>
        <v/>
      </c>
      <c r="AD74" s="333" t="str">
        <f t="shared" ca="1" si="51"/>
        <v/>
      </c>
      <c r="AE74" s="333" t="str">
        <f t="shared" ca="1" si="52"/>
        <v/>
      </c>
      <c r="AG74" s="333">
        <f ca="1">IF(TYPE(VLOOKUP($A74,'1.kolo'!$L$3:$L$66,1,0))&gt;3,VLOOKUP($A74,'1.kolo'!$K$3:$L$66,2,0),VLOOKUP($A74,'1.kolo'!$L$3:$O$66,4,0))</f>
        <v>51</v>
      </c>
      <c r="AH74" s="333">
        <f ca="1">IF(TYPE(VLOOKUP($A74,'1.kolo'!$L$3:$L$66,1,0))&gt;3,VLOOKUP($A74,'1.kolo'!$O$3:$Q$66,2,0),VLOOKUP($A74,'1.kolo'!$L$3:$N$66,2,0))</f>
        <v>0</v>
      </c>
      <c r="AI74" s="333">
        <f ca="1">IF(TYPE(VLOOKUP($A74,'1.kolo'!$L$3:$L$66,1,0))&gt;3,VLOOKUP($A74,'1.kolo'!$O$3:$Q$66,3,0),VLOOKUP($A74,'1.kolo'!$L$3:$N$66,3,0))</f>
        <v>0</v>
      </c>
      <c r="AJ74" s="333">
        <f t="shared" ca="1" si="53"/>
        <v>0</v>
      </c>
      <c r="AK74" s="333">
        <v>72</v>
      </c>
      <c r="AL74" s="442"/>
      <c r="AP74" s="333" t="str">
        <f ca="1">IF(TYPE(VLOOKUP($A74,'2.kolo'!$L$3:$L$66,1,0))&gt;3,IF(TYPE(VLOOKUP($A74,'2.kolo'!$K$3:$L$66,2,0))&gt;3,0,VLOOKUP($A74,'2.kolo'!$K$3:$L$66,2,0)),VLOOKUP($A74,'2.kolo'!$L$3:$O$66,4,0))</f>
        <v/>
      </c>
      <c r="AQ74" s="333">
        <f ca="1">IF(TYPE(VLOOKUP($A74,'2.kolo'!$L$3:$L$66,1,0))&gt;3,IF(TYPE(VLOOKUP($A74,'2.kolo'!$O$3:$Q$66,2,0))&gt;3,0,VLOOKUP($A74,'2.kolo'!$O$3:$Q$66,2,0)),VLOOKUP($A74,'2.kolo'!$L$3:$N$66,2,0))</f>
        <v>0</v>
      </c>
      <c r="AR74" s="333">
        <f ca="1">IF(TYPE(VLOOKUP($A74,'2.kolo'!$L$3:$L$66,1,0))&gt;3,IF(TYPE(VLOOKUP($A74,'2.kolo'!$O$3:$Q$66,3,0))&gt;3,0,VLOOKUP($A74,'2.kolo'!$O$3:$Q$66,3,0)),VLOOKUP($A74,'2.kolo'!$L$3:$N$66,3,0))</f>
        <v>0</v>
      </c>
      <c r="AS74" s="333">
        <f t="shared" ca="1" si="54"/>
        <v>0</v>
      </c>
      <c r="AT74" s="415" t="s">
        <v>2005</v>
      </c>
      <c r="AU74" s="442" t="str">
        <f ca="1">IF(AT74="","",CONCATENATE(TEXT($O74,"0"),IF(Start.listina!$Y$5="","",TEXT(500+$P74,"000")),TEXT(999999*RAND(),"000000")))</f>
        <v/>
      </c>
      <c r="AV74" s="333">
        <f t="shared" ca="1" si="37"/>
        <v>0</v>
      </c>
      <c r="AY74" s="333" t="str">
        <f ca="1">IF(TYPE(VLOOKUP($A74,'3.kolo'!$L$3:$L$66,1,0))&gt;3,IF(TYPE(VLOOKUP($A74,'3.kolo'!$K$3:$L$66,2,0))&gt;3,0,VLOOKUP($A74,'3.kolo'!$K$3:$L$66,2,0)),VLOOKUP($A74,'3.kolo'!$L$3:$O$66,4,0))</f>
        <v/>
      </c>
      <c r="AZ74" s="333">
        <f ca="1">IF(TYPE(VLOOKUP($A74,'3.kolo'!$L$3:$L$66,1,0))&gt;3,IF(TYPE(VLOOKUP($A74,'3.kolo'!$O$3:$Q$66,2,0))&gt;3,0,VLOOKUP($A74,'3.kolo'!$O$3:$Q$66,2,0)),VLOOKUP($A74,'3.kolo'!$L$3:$N$66,2,0))</f>
        <v>0</v>
      </c>
      <c r="BA74" s="333">
        <f ca="1">IF(TYPE(VLOOKUP($A74,'3.kolo'!$L$3:$L$66,1,0))&gt;3,IF(TYPE(VLOOKUP($A74,'3.kolo'!$O$3:$Q$66,3,0))&gt;3,0,VLOOKUP($A74,'3.kolo'!$O$3:$Q$66,3,0)),VLOOKUP($A74,'3.kolo'!$L$3:$N$66,3,0))</f>
        <v>0</v>
      </c>
      <c r="BB74" s="333">
        <f t="shared" ca="1" si="55"/>
        <v>0</v>
      </c>
      <c r="BC74" s="415" t="s">
        <v>2005</v>
      </c>
      <c r="BD74" s="442" t="str">
        <f ca="1">IF(BC74="","",CONCATENATE(TEXT($O74,"0"),IF(Start.listina!$Y$5="","",TEXT(500+$P74,"000")),TEXT(999999*RAND(),"000000")))</f>
        <v/>
      </c>
      <c r="BE74" s="333">
        <f t="shared" ca="1" si="38"/>
        <v>0</v>
      </c>
      <c r="BH74" s="333" t="str">
        <f ca="1">IF(TYPE(VLOOKUP($A74,'4.kolo'!$L$3:$L$66,1,0))&gt;3,IF(TYPE(VLOOKUP($A74,'4.kolo'!$K$3:$L$66,2,0))&gt;3,0,VLOOKUP($A74,'4.kolo'!$K$3:$L$66,2,0)),VLOOKUP($A74,'4.kolo'!$L$3:$O$66,4,0))</f>
        <v/>
      </c>
      <c r="BI74" s="333">
        <f ca="1">IF(TYPE(VLOOKUP($A74,'4.kolo'!$L$3:$L$66,1,0))&gt;3,IF(TYPE(VLOOKUP($A74,'4.kolo'!$O$3:$Q$66,2,0))&gt;3,0,VLOOKUP($A74,'4.kolo'!$O$3:$Q$66,2,0)),VLOOKUP($A74,'4.kolo'!$L$3:$N$66,2,0))</f>
        <v>0</v>
      </c>
      <c r="BJ74" s="333">
        <f ca="1">IF(TYPE(VLOOKUP($A74,'4.kolo'!$L$3:$L$66,1,0))&gt;3,IF(TYPE(VLOOKUP($A74,'4.kolo'!$O$3:$Q$66,3,0))&gt;3,0,VLOOKUP($A74,'4.kolo'!$O$3:$Q$66,3,0)),VLOOKUP($A74,'4.kolo'!$L$3:$N$66,3,0))</f>
        <v>0</v>
      </c>
      <c r="BK74" s="333">
        <f t="shared" ca="1" si="56"/>
        <v>0</v>
      </c>
      <c r="BL74" s="415" t="s">
        <v>2005</v>
      </c>
      <c r="BM74" s="442" t="str">
        <f ca="1">IF(BL74="","",CONCATENATE(TEXT($O74,"0"),IF(Start.listina!$Y$5="","",TEXT(500+$P74,"000")),TEXT(999999*RAND(),"000000")))</f>
        <v/>
      </c>
      <c r="BN74" s="333">
        <f t="shared" ca="1" si="39"/>
        <v>0</v>
      </c>
      <c r="BQ74" s="333" t="str">
        <f ca="1">IF(TYPE(VLOOKUP($A74,'5.kolo'!$L$3:$L$66,1,0))&gt;3,IF(TYPE(VLOOKUP($A74,'5.kolo'!$K$3:$L$66,2,0))&gt;3,0,VLOOKUP($A74,'5.kolo'!$K$3:$L$66,2,0)),VLOOKUP($A74,'5.kolo'!$L$3:$O$66,4,0))</f>
        <v/>
      </c>
      <c r="BR74" s="333">
        <f ca="1">IF(TYPE(VLOOKUP($A74,'5.kolo'!$L$3:$L$66,1,0))&gt;3,IF(TYPE(VLOOKUP($A74,'5.kolo'!$O$3:$Q$66,2,0))&gt;3,0,VLOOKUP($A74,'5.kolo'!$O$3:$Q$66,2,0)),VLOOKUP($A74,'5.kolo'!$L$3:$N$66,2,0))</f>
        <v>0</v>
      </c>
      <c r="BS74" s="333">
        <f ca="1">IF(TYPE(VLOOKUP($A74,'5.kolo'!$L$3:$L$66,1,0))&gt;3,IF(TYPE(VLOOKUP($A74,'5.kolo'!$O$3:$Q$66,3,0))&gt;3,0,VLOOKUP($A74,'5.kolo'!$O$3:$Q$66,3,0)),VLOOKUP($A74,'5.kolo'!$L$3:$N$66,3,0))</f>
        <v>0</v>
      </c>
      <c r="BT74" s="333">
        <f t="shared" ca="1" si="57"/>
        <v>0</v>
      </c>
      <c r="BU74" s="415"/>
      <c r="BV74" s="442" t="str">
        <f ca="1">IF(BU74="","",CONCATENATE(TEXT($O74,"0"),IF(Start.listina!$Y$5="","",TEXT(500+$P74,"000")),TEXT(999999*RAND(),"000000")))</f>
        <v/>
      </c>
      <c r="BW74" s="333">
        <f t="shared" ca="1" si="40"/>
        <v>0</v>
      </c>
      <c r="BZ74" s="333" t="str">
        <f ca="1">IF(TYPE(VLOOKUP($A74,'6.kolo'!$L$3:$L$66,1,0))&gt;3,IF(TYPE(VLOOKUP($A74,'6.kolo'!$K$3:$L$66,2,0))&gt;3,0,VLOOKUP($A74,'6.kolo'!$K$3:$L$66,2,0)),VLOOKUP($A74,'6.kolo'!$L$3:$O$66,4,0))</f>
        <v/>
      </c>
      <c r="CA74" s="333">
        <f ca="1">IF(TYPE(VLOOKUP($A74,'6.kolo'!$L$3:$L$66,1,0))&gt;3,IF(TYPE(VLOOKUP($A74,'6.kolo'!$O$3:$Q$66,2,0))&gt;3,0,VLOOKUP($A74,'6.kolo'!$O$3:$Q$66,2,0)),VLOOKUP($A74,'6.kolo'!$L$3:$N$66,2,0))</f>
        <v>0</v>
      </c>
      <c r="CB74" s="333">
        <f ca="1">IF(TYPE(VLOOKUP($A74,'6.kolo'!$L$3:$L$66,1,0))&gt;3,IF(TYPE(VLOOKUP($A74,'6.kolo'!$O$3:$Q$66,3,0))&gt;3,0,VLOOKUP($A74,'6.kolo'!$O$3:$Q$66,3,0)),VLOOKUP($A74,'6.kolo'!$L$3:$N$66,3,0))</f>
        <v>0</v>
      </c>
      <c r="CC74" s="333">
        <f t="shared" ca="1" si="58"/>
        <v>0</v>
      </c>
      <c r="CD74" s="415"/>
      <c r="CE74" s="442" t="str">
        <f ca="1">IF(CD74="","",CONCATENATE(TEXT($O74,"0"),IF(Start.listina!$Y$5="","",TEXT(500+$P74,"000")),TEXT(999999*RAND(),"000000")))</f>
        <v/>
      </c>
      <c r="CF74" s="333">
        <f t="shared" ca="1" si="41"/>
        <v>0</v>
      </c>
    </row>
    <row r="75" spans="1:84" x14ac:dyDescent="0.25">
      <c r="A75" s="333" t="str">
        <f>IF(OR(Start.listina!H83&gt;Start.listina!$K$7,Start.listina!G83=TRUE),"",Start.listina!H83)</f>
        <v/>
      </c>
      <c r="B75" s="333" t="str">
        <f>IF($A75&gt;Start.listina!$K$7,"",INT(($A75-1)/Start.listina!$O$7)+1)</f>
        <v/>
      </c>
      <c r="C75" s="439" t="str">
        <f>IF(OR(Start.listina!H83&gt;Start.listina!$K$7,Start.listina!G83=TRUE)," - ",Start.listina!AL83)</f>
        <v xml:space="preserve"> - </v>
      </c>
      <c r="D75" s="333" t="str">
        <f>IF(OR(A75&gt;Start.listina!$K$7,TYPE(VLOOKUP(A75,$V$3:$X$130,3,0))&gt;3),"",VLOOKUP(A75,$V$3:$X$130,3,0))</f>
        <v/>
      </c>
      <c r="E75" s="440" t="str">
        <f>IF(A75&gt;Start.listina!$K$7,"",IF(MIN(F75:K75)&gt;Start.listina!$Y$4,D75,MIN(F75:K75)))</f>
        <v/>
      </c>
      <c r="F75" s="333">
        <f ca="1">IF(TYPE(VLOOKUP(C75,Konečné_pořadí_1_16!$B$2:$D$17,3,0))&lt;4,VLOOKUP(C75,Konečné_pořadí_1_16!$B$2:$D$17,3,0),999)</f>
        <v>999</v>
      </c>
      <c r="G75" s="333">
        <f ca="1">IF(TYPE(VLOOKUP(C75,'KO64'!$D$4:$D$129,1,0))&lt;4,64,999)</f>
        <v>64</v>
      </c>
      <c r="H75" s="333">
        <f ca="1">IF(TYPE(VLOOKUP(C75,'KO32'!$D$4:$D$65,1,0))&lt;4,32,999)</f>
        <v>32</v>
      </c>
      <c r="I75" s="333">
        <f ca="1">IF(TYPE(VLOOKUP(C75,'KO16'!$D$4:$D$33,1,0))&lt;4,16,999)</f>
        <v>999</v>
      </c>
      <c r="J75" s="333">
        <f ca="1">IF(TYPE(VLOOKUP(C75,'KO8'!$D$4:$D$17,1,0))&lt;4,8,999)</f>
        <v>999</v>
      </c>
      <c r="K75" s="333">
        <f ca="1">IF(TYPE(VLOOKUP(C75,'KO4'!$D$4:$D$9,1,0))&lt;4,4,999)</f>
        <v>999</v>
      </c>
      <c r="M75" s="334">
        <v>73</v>
      </c>
      <c r="O75" s="333">
        <f t="shared" ca="1" si="42"/>
        <v>0</v>
      </c>
      <c r="P75" s="333">
        <f t="shared" ca="1" si="43"/>
        <v>0</v>
      </c>
      <c r="Q75" s="333">
        <f t="shared" ca="1" si="34"/>
        <v>2</v>
      </c>
      <c r="R75" s="333">
        <f t="shared" ca="1" si="35"/>
        <v>0</v>
      </c>
      <c r="S75" s="333">
        <f t="shared" ca="1" si="44"/>
        <v>16</v>
      </c>
      <c r="T75" s="333">
        <f t="shared" ca="1" si="45"/>
        <v>0</v>
      </c>
      <c r="U75" s="415">
        <f t="shared" si="59"/>
        <v>73</v>
      </c>
      <c r="V75" s="415" t="s">
        <v>2005</v>
      </c>
      <c r="W75" s="441" t="str">
        <f ca="1">IF($V75="","",CONCATENATE(TEXT($O75,"0"),IF(Start.listina!$Y$5="","",TEXT(500+$P75,"0000")),IF(Start.listina!$Y$6="","",CHOOSE(Start.listina!$Y$7,TEXT($Q75,"00"),CONCATENATE(TEXT($Q75,"00"),TEXT($S75,"000")), TEXT($R75,"00"))),TEXT(500+$P75,"0000"),IF(Start.listina!$Y$8="","",TEXT($T75,"0")),TEXT(999999*RAND(),"000000")))</f>
        <v/>
      </c>
      <c r="X75" s="417">
        <f t="shared" si="46"/>
        <v>73</v>
      </c>
      <c r="Y75" s="415">
        <f t="shared" ca="1" si="36"/>
        <v>0</v>
      </c>
      <c r="Z75" s="333">
        <f t="shared" ca="1" si="47"/>
        <v>51</v>
      </c>
      <c r="AA75" s="333" t="str">
        <f t="shared" ca="1" si="48"/>
        <v/>
      </c>
      <c r="AB75" s="333" t="str">
        <f t="shared" ca="1" si="49"/>
        <v/>
      </c>
      <c r="AC75" s="333" t="str">
        <f t="shared" ca="1" si="50"/>
        <v/>
      </c>
      <c r="AD75" s="333" t="str">
        <f t="shared" ca="1" si="51"/>
        <v/>
      </c>
      <c r="AE75" s="333" t="str">
        <f t="shared" ca="1" si="52"/>
        <v/>
      </c>
      <c r="AG75" s="333">
        <f ca="1">IF(TYPE(VLOOKUP($A75,'1.kolo'!$L$3:$L$66,1,0))&gt;3,VLOOKUP($A75,'1.kolo'!$K$3:$L$66,2,0),VLOOKUP($A75,'1.kolo'!$L$3:$O$66,4,0))</f>
        <v>51</v>
      </c>
      <c r="AH75" s="333">
        <f ca="1">IF(TYPE(VLOOKUP($A75,'1.kolo'!$L$3:$L$66,1,0))&gt;3,VLOOKUP($A75,'1.kolo'!$O$3:$Q$66,2,0),VLOOKUP($A75,'1.kolo'!$L$3:$N$66,2,0))</f>
        <v>0</v>
      </c>
      <c r="AI75" s="333">
        <f ca="1">IF(TYPE(VLOOKUP($A75,'1.kolo'!$L$3:$L$66,1,0))&gt;3,VLOOKUP($A75,'1.kolo'!$O$3:$Q$66,3,0),VLOOKUP($A75,'1.kolo'!$L$3:$N$66,3,0))</f>
        <v>0</v>
      </c>
      <c r="AJ75" s="333">
        <f t="shared" ca="1" si="53"/>
        <v>0</v>
      </c>
      <c r="AK75" s="333">
        <v>73</v>
      </c>
      <c r="AL75" s="442"/>
      <c r="AP75" s="333" t="str">
        <f ca="1">IF(TYPE(VLOOKUP($A75,'2.kolo'!$L$3:$L$66,1,0))&gt;3,IF(TYPE(VLOOKUP($A75,'2.kolo'!$K$3:$L$66,2,0))&gt;3,0,VLOOKUP($A75,'2.kolo'!$K$3:$L$66,2,0)),VLOOKUP($A75,'2.kolo'!$L$3:$O$66,4,0))</f>
        <v/>
      </c>
      <c r="AQ75" s="333">
        <f ca="1">IF(TYPE(VLOOKUP($A75,'2.kolo'!$L$3:$L$66,1,0))&gt;3,IF(TYPE(VLOOKUP($A75,'2.kolo'!$O$3:$Q$66,2,0))&gt;3,0,VLOOKUP($A75,'2.kolo'!$O$3:$Q$66,2,0)),VLOOKUP($A75,'2.kolo'!$L$3:$N$66,2,0))</f>
        <v>0</v>
      </c>
      <c r="AR75" s="333">
        <f ca="1">IF(TYPE(VLOOKUP($A75,'2.kolo'!$L$3:$L$66,1,0))&gt;3,IF(TYPE(VLOOKUP($A75,'2.kolo'!$O$3:$Q$66,3,0))&gt;3,0,VLOOKUP($A75,'2.kolo'!$O$3:$Q$66,3,0)),VLOOKUP($A75,'2.kolo'!$L$3:$N$66,3,0))</f>
        <v>0</v>
      </c>
      <c r="AS75" s="333">
        <f t="shared" ca="1" si="54"/>
        <v>0</v>
      </c>
      <c r="AT75" s="415" t="s">
        <v>2005</v>
      </c>
      <c r="AU75" s="442" t="str">
        <f ca="1">IF(AT75="","",CONCATENATE(TEXT($O75,"0"),IF(Start.listina!$Y$5="","",TEXT(500+$P75,"000")),TEXT(999999*RAND(),"000000")))</f>
        <v/>
      </c>
      <c r="AV75" s="333">
        <f t="shared" ca="1" si="37"/>
        <v>0</v>
      </c>
      <c r="AY75" s="333" t="str">
        <f ca="1">IF(TYPE(VLOOKUP($A75,'3.kolo'!$L$3:$L$66,1,0))&gt;3,IF(TYPE(VLOOKUP($A75,'3.kolo'!$K$3:$L$66,2,0))&gt;3,0,VLOOKUP($A75,'3.kolo'!$K$3:$L$66,2,0)),VLOOKUP($A75,'3.kolo'!$L$3:$O$66,4,0))</f>
        <v/>
      </c>
      <c r="AZ75" s="333">
        <f ca="1">IF(TYPE(VLOOKUP($A75,'3.kolo'!$L$3:$L$66,1,0))&gt;3,IF(TYPE(VLOOKUP($A75,'3.kolo'!$O$3:$Q$66,2,0))&gt;3,0,VLOOKUP($A75,'3.kolo'!$O$3:$Q$66,2,0)),VLOOKUP($A75,'3.kolo'!$L$3:$N$66,2,0))</f>
        <v>0</v>
      </c>
      <c r="BA75" s="333">
        <f ca="1">IF(TYPE(VLOOKUP($A75,'3.kolo'!$L$3:$L$66,1,0))&gt;3,IF(TYPE(VLOOKUP($A75,'3.kolo'!$O$3:$Q$66,3,0))&gt;3,0,VLOOKUP($A75,'3.kolo'!$O$3:$Q$66,3,0)),VLOOKUP($A75,'3.kolo'!$L$3:$N$66,3,0))</f>
        <v>0</v>
      </c>
      <c r="BB75" s="333">
        <f t="shared" ca="1" si="55"/>
        <v>0</v>
      </c>
      <c r="BC75" s="415" t="s">
        <v>2005</v>
      </c>
      <c r="BD75" s="442" t="str">
        <f ca="1">IF(BC75="","",CONCATENATE(TEXT($O75,"0"),IF(Start.listina!$Y$5="","",TEXT(500+$P75,"000")),TEXT(999999*RAND(),"000000")))</f>
        <v/>
      </c>
      <c r="BE75" s="333">
        <f t="shared" ca="1" si="38"/>
        <v>0</v>
      </c>
      <c r="BH75" s="333" t="str">
        <f ca="1">IF(TYPE(VLOOKUP($A75,'4.kolo'!$L$3:$L$66,1,0))&gt;3,IF(TYPE(VLOOKUP($A75,'4.kolo'!$K$3:$L$66,2,0))&gt;3,0,VLOOKUP($A75,'4.kolo'!$K$3:$L$66,2,0)),VLOOKUP($A75,'4.kolo'!$L$3:$O$66,4,0))</f>
        <v/>
      </c>
      <c r="BI75" s="333">
        <f ca="1">IF(TYPE(VLOOKUP($A75,'4.kolo'!$L$3:$L$66,1,0))&gt;3,IF(TYPE(VLOOKUP($A75,'4.kolo'!$O$3:$Q$66,2,0))&gt;3,0,VLOOKUP($A75,'4.kolo'!$O$3:$Q$66,2,0)),VLOOKUP($A75,'4.kolo'!$L$3:$N$66,2,0))</f>
        <v>0</v>
      </c>
      <c r="BJ75" s="333">
        <f ca="1">IF(TYPE(VLOOKUP($A75,'4.kolo'!$L$3:$L$66,1,0))&gt;3,IF(TYPE(VLOOKUP($A75,'4.kolo'!$O$3:$Q$66,3,0))&gt;3,0,VLOOKUP($A75,'4.kolo'!$O$3:$Q$66,3,0)),VLOOKUP($A75,'4.kolo'!$L$3:$N$66,3,0))</f>
        <v>0</v>
      </c>
      <c r="BK75" s="333">
        <f t="shared" ca="1" si="56"/>
        <v>0</v>
      </c>
      <c r="BL75" s="415" t="s">
        <v>2005</v>
      </c>
      <c r="BM75" s="442" t="str">
        <f ca="1">IF(BL75="","",CONCATENATE(TEXT($O75,"0"),IF(Start.listina!$Y$5="","",TEXT(500+$P75,"000")),TEXT(999999*RAND(),"000000")))</f>
        <v/>
      </c>
      <c r="BN75" s="333">
        <f t="shared" ca="1" si="39"/>
        <v>0</v>
      </c>
      <c r="BQ75" s="333" t="str">
        <f ca="1">IF(TYPE(VLOOKUP($A75,'5.kolo'!$L$3:$L$66,1,0))&gt;3,IF(TYPE(VLOOKUP($A75,'5.kolo'!$K$3:$L$66,2,0))&gt;3,0,VLOOKUP($A75,'5.kolo'!$K$3:$L$66,2,0)),VLOOKUP($A75,'5.kolo'!$L$3:$O$66,4,0))</f>
        <v/>
      </c>
      <c r="BR75" s="333">
        <f ca="1">IF(TYPE(VLOOKUP($A75,'5.kolo'!$L$3:$L$66,1,0))&gt;3,IF(TYPE(VLOOKUP($A75,'5.kolo'!$O$3:$Q$66,2,0))&gt;3,0,VLOOKUP($A75,'5.kolo'!$O$3:$Q$66,2,0)),VLOOKUP($A75,'5.kolo'!$L$3:$N$66,2,0))</f>
        <v>0</v>
      </c>
      <c r="BS75" s="333">
        <f ca="1">IF(TYPE(VLOOKUP($A75,'5.kolo'!$L$3:$L$66,1,0))&gt;3,IF(TYPE(VLOOKUP($A75,'5.kolo'!$O$3:$Q$66,3,0))&gt;3,0,VLOOKUP($A75,'5.kolo'!$O$3:$Q$66,3,0)),VLOOKUP($A75,'5.kolo'!$L$3:$N$66,3,0))</f>
        <v>0</v>
      </c>
      <c r="BT75" s="333">
        <f t="shared" ca="1" si="57"/>
        <v>0</v>
      </c>
      <c r="BU75" s="415"/>
      <c r="BV75" s="442" t="str">
        <f ca="1">IF(BU75="","",CONCATENATE(TEXT($O75,"0"),IF(Start.listina!$Y$5="","",TEXT(500+$P75,"000")),TEXT(999999*RAND(),"000000")))</f>
        <v/>
      </c>
      <c r="BW75" s="333">
        <f t="shared" ca="1" si="40"/>
        <v>0</v>
      </c>
      <c r="BZ75" s="333" t="str">
        <f ca="1">IF(TYPE(VLOOKUP($A75,'6.kolo'!$L$3:$L$66,1,0))&gt;3,IF(TYPE(VLOOKUP($A75,'6.kolo'!$K$3:$L$66,2,0))&gt;3,0,VLOOKUP($A75,'6.kolo'!$K$3:$L$66,2,0)),VLOOKUP($A75,'6.kolo'!$L$3:$O$66,4,0))</f>
        <v/>
      </c>
      <c r="CA75" s="333">
        <f ca="1">IF(TYPE(VLOOKUP($A75,'6.kolo'!$L$3:$L$66,1,0))&gt;3,IF(TYPE(VLOOKUP($A75,'6.kolo'!$O$3:$Q$66,2,0))&gt;3,0,VLOOKUP($A75,'6.kolo'!$O$3:$Q$66,2,0)),VLOOKUP($A75,'6.kolo'!$L$3:$N$66,2,0))</f>
        <v>0</v>
      </c>
      <c r="CB75" s="333">
        <f ca="1">IF(TYPE(VLOOKUP($A75,'6.kolo'!$L$3:$L$66,1,0))&gt;3,IF(TYPE(VLOOKUP($A75,'6.kolo'!$O$3:$Q$66,3,0))&gt;3,0,VLOOKUP($A75,'6.kolo'!$O$3:$Q$66,3,0)),VLOOKUP($A75,'6.kolo'!$L$3:$N$66,3,0))</f>
        <v>0</v>
      </c>
      <c r="CC75" s="333">
        <f t="shared" ca="1" si="58"/>
        <v>0</v>
      </c>
      <c r="CD75" s="415"/>
      <c r="CE75" s="442" t="str">
        <f ca="1">IF(CD75="","",CONCATENATE(TEXT($O75,"0"),IF(Start.listina!$Y$5="","",TEXT(500+$P75,"000")),TEXT(999999*RAND(),"000000")))</f>
        <v/>
      </c>
      <c r="CF75" s="333">
        <f t="shared" ca="1" si="41"/>
        <v>0</v>
      </c>
    </row>
    <row r="76" spans="1:84" x14ac:dyDescent="0.25">
      <c r="A76" s="333" t="str">
        <f>IF(OR(Start.listina!H84&gt;Start.listina!$K$7,Start.listina!G84=TRUE),"",Start.listina!H84)</f>
        <v/>
      </c>
      <c r="B76" s="333" t="str">
        <f>IF($A76&gt;Start.listina!$K$7,"",INT(($A76-1)/Start.listina!$O$7)+1)</f>
        <v/>
      </c>
      <c r="C76" s="439" t="str">
        <f>IF(OR(Start.listina!H84&gt;Start.listina!$K$7,Start.listina!G84=TRUE)," - ",Start.listina!AL84)</f>
        <v xml:space="preserve"> - </v>
      </c>
      <c r="D76" s="333" t="str">
        <f>IF(OR(A76&gt;Start.listina!$K$7,TYPE(VLOOKUP(A76,$V$3:$X$130,3,0))&gt;3),"",VLOOKUP(A76,$V$3:$X$130,3,0))</f>
        <v/>
      </c>
      <c r="E76" s="440" t="str">
        <f>IF(A76&gt;Start.listina!$K$7,"",IF(MIN(F76:K76)&gt;Start.listina!$Y$4,D76,MIN(F76:K76)))</f>
        <v/>
      </c>
      <c r="F76" s="333">
        <f ca="1">IF(TYPE(VLOOKUP(C76,Konečné_pořadí_1_16!$B$2:$D$17,3,0))&lt;4,VLOOKUP(C76,Konečné_pořadí_1_16!$B$2:$D$17,3,0),999)</f>
        <v>999</v>
      </c>
      <c r="G76" s="333">
        <f ca="1">IF(TYPE(VLOOKUP(C76,'KO64'!$D$4:$D$129,1,0))&lt;4,64,999)</f>
        <v>64</v>
      </c>
      <c r="H76" s="333">
        <f ca="1">IF(TYPE(VLOOKUP(C76,'KO32'!$D$4:$D$65,1,0))&lt;4,32,999)</f>
        <v>32</v>
      </c>
      <c r="I76" s="333">
        <f ca="1">IF(TYPE(VLOOKUP(C76,'KO16'!$D$4:$D$33,1,0))&lt;4,16,999)</f>
        <v>999</v>
      </c>
      <c r="J76" s="333">
        <f ca="1">IF(TYPE(VLOOKUP(C76,'KO8'!$D$4:$D$17,1,0))&lt;4,8,999)</f>
        <v>999</v>
      </c>
      <c r="K76" s="333">
        <f ca="1">IF(TYPE(VLOOKUP(C76,'KO4'!$D$4:$D$9,1,0))&lt;4,4,999)</f>
        <v>999</v>
      </c>
      <c r="M76" s="334">
        <v>74</v>
      </c>
      <c r="O76" s="333">
        <f t="shared" ca="1" si="42"/>
        <v>0</v>
      </c>
      <c r="P76" s="333">
        <f t="shared" ca="1" si="43"/>
        <v>0</v>
      </c>
      <c r="Q76" s="333">
        <f t="shared" ca="1" si="34"/>
        <v>2</v>
      </c>
      <c r="R76" s="333">
        <f t="shared" ca="1" si="35"/>
        <v>0</v>
      </c>
      <c r="S76" s="333">
        <f t="shared" ca="1" si="44"/>
        <v>16</v>
      </c>
      <c r="T76" s="333">
        <f t="shared" ca="1" si="45"/>
        <v>0</v>
      </c>
      <c r="U76" s="415">
        <f t="shared" si="59"/>
        <v>74</v>
      </c>
      <c r="V76" s="415" t="s">
        <v>2005</v>
      </c>
      <c r="W76" s="441" t="str">
        <f ca="1">IF($V76="","",CONCATENATE(TEXT($O76,"0"),IF(Start.listina!$Y$5="","",TEXT(500+$P76,"0000")),IF(Start.listina!$Y$6="","",CHOOSE(Start.listina!$Y$7,TEXT($Q76,"00"),CONCATENATE(TEXT($Q76,"00"),TEXT($S76,"000")), TEXT($R76,"00"))),TEXT(500+$P76,"0000"),IF(Start.listina!$Y$8="","",TEXT($T76,"0")),TEXT(999999*RAND(),"000000")))</f>
        <v/>
      </c>
      <c r="X76" s="417">
        <f t="shared" si="46"/>
        <v>74</v>
      </c>
      <c r="Y76" s="415">
        <f t="shared" ca="1" si="36"/>
        <v>0</v>
      </c>
      <c r="Z76" s="333">
        <f t="shared" ca="1" si="47"/>
        <v>51</v>
      </c>
      <c r="AA76" s="333" t="str">
        <f t="shared" ca="1" si="48"/>
        <v/>
      </c>
      <c r="AB76" s="333" t="str">
        <f t="shared" ca="1" si="49"/>
        <v/>
      </c>
      <c r="AC76" s="333" t="str">
        <f t="shared" ca="1" si="50"/>
        <v/>
      </c>
      <c r="AD76" s="333" t="str">
        <f t="shared" ca="1" si="51"/>
        <v/>
      </c>
      <c r="AE76" s="333" t="str">
        <f t="shared" ca="1" si="52"/>
        <v/>
      </c>
      <c r="AG76" s="333">
        <f ca="1">IF(TYPE(VLOOKUP($A76,'1.kolo'!$L$3:$L$66,1,0))&gt;3,VLOOKUP($A76,'1.kolo'!$K$3:$L$66,2,0),VLOOKUP($A76,'1.kolo'!$L$3:$O$66,4,0))</f>
        <v>51</v>
      </c>
      <c r="AH76" s="333">
        <f ca="1">IF(TYPE(VLOOKUP($A76,'1.kolo'!$L$3:$L$66,1,0))&gt;3,VLOOKUP($A76,'1.kolo'!$O$3:$Q$66,2,0),VLOOKUP($A76,'1.kolo'!$L$3:$N$66,2,0))</f>
        <v>0</v>
      </c>
      <c r="AI76" s="333">
        <f ca="1">IF(TYPE(VLOOKUP($A76,'1.kolo'!$L$3:$L$66,1,0))&gt;3,VLOOKUP($A76,'1.kolo'!$O$3:$Q$66,3,0),VLOOKUP($A76,'1.kolo'!$L$3:$N$66,3,0))</f>
        <v>0</v>
      </c>
      <c r="AJ76" s="333">
        <f t="shared" ca="1" si="53"/>
        <v>0</v>
      </c>
      <c r="AK76" s="333">
        <v>74</v>
      </c>
      <c r="AL76" s="442"/>
      <c r="AP76" s="333" t="str">
        <f ca="1">IF(TYPE(VLOOKUP($A76,'2.kolo'!$L$3:$L$66,1,0))&gt;3,IF(TYPE(VLOOKUP($A76,'2.kolo'!$K$3:$L$66,2,0))&gt;3,0,VLOOKUP($A76,'2.kolo'!$K$3:$L$66,2,0)),VLOOKUP($A76,'2.kolo'!$L$3:$O$66,4,0))</f>
        <v/>
      </c>
      <c r="AQ76" s="333">
        <f ca="1">IF(TYPE(VLOOKUP($A76,'2.kolo'!$L$3:$L$66,1,0))&gt;3,IF(TYPE(VLOOKUP($A76,'2.kolo'!$O$3:$Q$66,2,0))&gt;3,0,VLOOKUP($A76,'2.kolo'!$O$3:$Q$66,2,0)),VLOOKUP($A76,'2.kolo'!$L$3:$N$66,2,0))</f>
        <v>0</v>
      </c>
      <c r="AR76" s="333">
        <f ca="1">IF(TYPE(VLOOKUP($A76,'2.kolo'!$L$3:$L$66,1,0))&gt;3,IF(TYPE(VLOOKUP($A76,'2.kolo'!$O$3:$Q$66,3,0))&gt;3,0,VLOOKUP($A76,'2.kolo'!$O$3:$Q$66,3,0)),VLOOKUP($A76,'2.kolo'!$L$3:$N$66,3,0))</f>
        <v>0</v>
      </c>
      <c r="AS76" s="333">
        <f t="shared" ca="1" si="54"/>
        <v>0</v>
      </c>
      <c r="AT76" s="415" t="s">
        <v>2005</v>
      </c>
      <c r="AU76" s="442" t="str">
        <f ca="1">IF(AT76="","",CONCATENATE(TEXT($O76,"0"),IF(Start.listina!$Y$5="","",TEXT(500+$P76,"000")),TEXT(999999*RAND(),"000000")))</f>
        <v/>
      </c>
      <c r="AV76" s="333">
        <f t="shared" ca="1" si="37"/>
        <v>0</v>
      </c>
      <c r="AY76" s="333" t="str">
        <f ca="1">IF(TYPE(VLOOKUP($A76,'3.kolo'!$L$3:$L$66,1,0))&gt;3,IF(TYPE(VLOOKUP($A76,'3.kolo'!$K$3:$L$66,2,0))&gt;3,0,VLOOKUP($A76,'3.kolo'!$K$3:$L$66,2,0)),VLOOKUP($A76,'3.kolo'!$L$3:$O$66,4,0))</f>
        <v/>
      </c>
      <c r="AZ76" s="333">
        <f ca="1">IF(TYPE(VLOOKUP($A76,'3.kolo'!$L$3:$L$66,1,0))&gt;3,IF(TYPE(VLOOKUP($A76,'3.kolo'!$O$3:$Q$66,2,0))&gt;3,0,VLOOKUP($A76,'3.kolo'!$O$3:$Q$66,2,0)),VLOOKUP($A76,'3.kolo'!$L$3:$N$66,2,0))</f>
        <v>0</v>
      </c>
      <c r="BA76" s="333">
        <f ca="1">IF(TYPE(VLOOKUP($A76,'3.kolo'!$L$3:$L$66,1,0))&gt;3,IF(TYPE(VLOOKUP($A76,'3.kolo'!$O$3:$Q$66,3,0))&gt;3,0,VLOOKUP($A76,'3.kolo'!$O$3:$Q$66,3,0)),VLOOKUP($A76,'3.kolo'!$L$3:$N$66,3,0))</f>
        <v>0</v>
      </c>
      <c r="BB76" s="333">
        <f t="shared" ca="1" si="55"/>
        <v>0</v>
      </c>
      <c r="BC76" s="415" t="s">
        <v>2005</v>
      </c>
      <c r="BD76" s="442" t="str">
        <f ca="1">IF(BC76="","",CONCATENATE(TEXT($O76,"0"),IF(Start.listina!$Y$5="","",TEXT(500+$P76,"000")),TEXT(999999*RAND(),"000000")))</f>
        <v/>
      </c>
      <c r="BE76" s="333">
        <f t="shared" ca="1" si="38"/>
        <v>0</v>
      </c>
      <c r="BH76" s="333" t="str">
        <f ca="1">IF(TYPE(VLOOKUP($A76,'4.kolo'!$L$3:$L$66,1,0))&gt;3,IF(TYPE(VLOOKUP($A76,'4.kolo'!$K$3:$L$66,2,0))&gt;3,0,VLOOKUP($A76,'4.kolo'!$K$3:$L$66,2,0)),VLOOKUP($A76,'4.kolo'!$L$3:$O$66,4,0))</f>
        <v/>
      </c>
      <c r="BI76" s="333">
        <f ca="1">IF(TYPE(VLOOKUP($A76,'4.kolo'!$L$3:$L$66,1,0))&gt;3,IF(TYPE(VLOOKUP($A76,'4.kolo'!$O$3:$Q$66,2,0))&gt;3,0,VLOOKUP($A76,'4.kolo'!$O$3:$Q$66,2,0)),VLOOKUP($A76,'4.kolo'!$L$3:$N$66,2,0))</f>
        <v>0</v>
      </c>
      <c r="BJ76" s="333">
        <f ca="1">IF(TYPE(VLOOKUP($A76,'4.kolo'!$L$3:$L$66,1,0))&gt;3,IF(TYPE(VLOOKUP($A76,'4.kolo'!$O$3:$Q$66,3,0))&gt;3,0,VLOOKUP($A76,'4.kolo'!$O$3:$Q$66,3,0)),VLOOKUP($A76,'4.kolo'!$L$3:$N$66,3,0))</f>
        <v>0</v>
      </c>
      <c r="BK76" s="333">
        <f t="shared" ca="1" si="56"/>
        <v>0</v>
      </c>
      <c r="BL76" s="415" t="s">
        <v>2005</v>
      </c>
      <c r="BM76" s="442" t="str">
        <f ca="1">IF(BL76="","",CONCATENATE(TEXT($O76,"0"),IF(Start.listina!$Y$5="","",TEXT(500+$P76,"000")),TEXT(999999*RAND(),"000000")))</f>
        <v/>
      </c>
      <c r="BN76" s="333">
        <f t="shared" ca="1" si="39"/>
        <v>0</v>
      </c>
      <c r="BQ76" s="333" t="str">
        <f ca="1">IF(TYPE(VLOOKUP($A76,'5.kolo'!$L$3:$L$66,1,0))&gt;3,IF(TYPE(VLOOKUP($A76,'5.kolo'!$K$3:$L$66,2,0))&gt;3,0,VLOOKUP($A76,'5.kolo'!$K$3:$L$66,2,0)),VLOOKUP($A76,'5.kolo'!$L$3:$O$66,4,0))</f>
        <v/>
      </c>
      <c r="BR76" s="333">
        <f ca="1">IF(TYPE(VLOOKUP($A76,'5.kolo'!$L$3:$L$66,1,0))&gt;3,IF(TYPE(VLOOKUP($A76,'5.kolo'!$O$3:$Q$66,2,0))&gt;3,0,VLOOKUP($A76,'5.kolo'!$O$3:$Q$66,2,0)),VLOOKUP($A76,'5.kolo'!$L$3:$N$66,2,0))</f>
        <v>0</v>
      </c>
      <c r="BS76" s="333">
        <f ca="1">IF(TYPE(VLOOKUP($A76,'5.kolo'!$L$3:$L$66,1,0))&gt;3,IF(TYPE(VLOOKUP($A76,'5.kolo'!$O$3:$Q$66,3,0))&gt;3,0,VLOOKUP($A76,'5.kolo'!$O$3:$Q$66,3,0)),VLOOKUP($A76,'5.kolo'!$L$3:$N$66,3,0))</f>
        <v>0</v>
      </c>
      <c r="BT76" s="333">
        <f t="shared" ca="1" si="57"/>
        <v>0</v>
      </c>
      <c r="BU76" s="415"/>
      <c r="BV76" s="442" t="str">
        <f ca="1">IF(BU76="","",CONCATENATE(TEXT($O76,"0"),IF(Start.listina!$Y$5="","",TEXT(500+$P76,"000")),TEXT(999999*RAND(),"000000")))</f>
        <v/>
      </c>
      <c r="BW76" s="333">
        <f t="shared" ca="1" si="40"/>
        <v>0</v>
      </c>
      <c r="BZ76" s="333" t="str">
        <f ca="1">IF(TYPE(VLOOKUP($A76,'6.kolo'!$L$3:$L$66,1,0))&gt;3,IF(TYPE(VLOOKUP($A76,'6.kolo'!$K$3:$L$66,2,0))&gt;3,0,VLOOKUP($A76,'6.kolo'!$K$3:$L$66,2,0)),VLOOKUP($A76,'6.kolo'!$L$3:$O$66,4,0))</f>
        <v/>
      </c>
      <c r="CA76" s="333">
        <f ca="1">IF(TYPE(VLOOKUP($A76,'6.kolo'!$L$3:$L$66,1,0))&gt;3,IF(TYPE(VLOOKUP($A76,'6.kolo'!$O$3:$Q$66,2,0))&gt;3,0,VLOOKUP($A76,'6.kolo'!$O$3:$Q$66,2,0)),VLOOKUP($A76,'6.kolo'!$L$3:$N$66,2,0))</f>
        <v>0</v>
      </c>
      <c r="CB76" s="333">
        <f ca="1">IF(TYPE(VLOOKUP($A76,'6.kolo'!$L$3:$L$66,1,0))&gt;3,IF(TYPE(VLOOKUP($A76,'6.kolo'!$O$3:$Q$66,3,0))&gt;3,0,VLOOKUP($A76,'6.kolo'!$O$3:$Q$66,3,0)),VLOOKUP($A76,'6.kolo'!$L$3:$N$66,3,0))</f>
        <v>0</v>
      </c>
      <c r="CC76" s="333">
        <f t="shared" ca="1" si="58"/>
        <v>0</v>
      </c>
      <c r="CD76" s="415"/>
      <c r="CE76" s="442" t="str">
        <f ca="1">IF(CD76="","",CONCATENATE(TEXT($O76,"0"),IF(Start.listina!$Y$5="","",TEXT(500+$P76,"000")),TEXT(999999*RAND(),"000000")))</f>
        <v/>
      </c>
      <c r="CF76" s="333">
        <f t="shared" ca="1" si="41"/>
        <v>0</v>
      </c>
    </row>
    <row r="77" spans="1:84" x14ac:dyDescent="0.25">
      <c r="A77" s="333" t="str">
        <f>IF(OR(Start.listina!H85&gt;Start.listina!$K$7,Start.listina!G85=TRUE),"",Start.listina!H85)</f>
        <v/>
      </c>
      <c r="B77" s="333" t="str">
        <f>IF($A77&gt;Start.listina!$K$7,"",INT(($A77-1)/Start.listina!$O$7)+1)</f>
        <v/>
      </c>
      <c r="C77" s="439" t="str">
        <f>IF(OR(Start.listina!H85&gt;Start.listina!$K$7,Start.listina!G85=TRUE)," - ",Start.listina!AL85)</f>
        <v xml:space="preserve"> - </v>
      </c>
      <c r="D77" s="333" t="str">
        <f>IF(OR(A77&gt;Start.listina!$K$7,TYPE(VLOOKUP(A77,$V$3:$X$130,3,0))&gt;3),"",VLOOKUP(A77,$V$3:$X$130,3,0))</f>
        <v/>
      </c>
      <c r="E77" s="440" t="str">
        <f>IF(A77&gt;Start.listina!$K$7,"",IF(MIN(F77:K77)&gt;Start.listina!$Y$4,D77,MIN(F77:K77)))</f>
        <v/>
      </c>
      <c r="F77" s="333">
        <f ca="1">IF(TYPE(VLOOKUP(C77,Konečné_pořadí_1_16!$B$2:$D$17,3,0))&lt;4,VLOOKUP(C77,Konečné_pořadí_1_16!$B$2:$D$17,3,0),999)</f>
        <v>999</v>
      </c>
      <c r="G77" s="333">
        <f ca="1">IF(TYPE(VLOOKUP(C77,'KO64'!$D$4:$D$129,1,0))&lt;4,64,999)</f>
        <v>64</v>
      </c>
      <c r="H77" s="333">
        <f ca="1">IF(TYPE(VLOOKUP(C77,'KO32'!$D$4:$D$65,1,0))&lt;4,32,999)</f>
        <v>32</v>
      </c>
      <c r="I77" s="333">
        <f ca="1">IF(TYPE(VLOOKUP(C77,'KO16'!$D$4:$D$33,1,0))&lt;4,16,999)</f>
        <v>999</v>
      </c>
      <c r="J77" s="333">
        <f ca="1">IF(TYPE(VLOOKUP(C77,'KO8'!$D$4:$D$17,1,0))&lt;4,8,999)</f>
        <v>999</v>
      </c>
      <c r="K77" s="333">
        <f ca="1">IF(TYPE(VLOOKUP(C77,'KO4'!$D$4:$D$9,1,0))&lt;4,4,999)</f>
        <v>999</v>
      </c>
      <c r="M77" s="334">
        <v>75</v>
      </c>
      <c r="O77" s="333">
        <f t="shared" ca="1" si="42"/>
        <v>0</v>
      </c>
      <c r="P77" s="333">
        <f t="shared" ca="1" si="43"/>
        <v>0</v>
      </c>
      <c r="Q77" s="333">
        <f t="shared" ca="1" si="34"/>
        <v>2</v>
      </c>
      <c r="R77" s="333">
        <f t="shared" ca="1" si="35"/>
        <v>0</v>
      </c>
      <c r="S77" s="333">
        <f t="shared" ca="1" si="44"/>
        <v>16</v>
      </c>
      <c r="T77" s="333">
        <f t="shared" ca="1" si="45"/>
        <v>0</v>
      </c>
      <c r="U77" s="415">
        <f t="shared" si="59"/>
        <v>75</v>
      </c>
      <c r="V77" s="415" t="s">
        <v>2005</v>
      </c>
      <c r="W77" s="441" t="str">
        <f ca="1">IF($V77="","",CONCATENATE(TEXT($O77,"0"),IF(Start.listina!$Y$5="","",TEXT(500+$P77,"0000")),IF(Start.listina!$Y$6="","",CHOOSE(Start.listina!$Y$7,TEXT($Q77,"00"),CONCATENATE(TEXT($Q77,"00"),TEXT($S77,"000")), TEXT($R77,"00"))),TEXT(500+$P77,"0000"),IF(Start.listina!$Y$8="","",TEXT($T77,"0")),TEXT(999999*RAND(),"000000")))</f>
        <v/>
      </c>
      <c r="X77" s="417">
        <f t="shared" si="46"/>
        <v>75</v>
      </c>
      <c r="Y77" s="415">
        <f t="shared" ca="1" si="36"/>
        <v>0</v>
      </c>
      <c r="Z77" s="333">
        <f t="shared" ca="1" si="47"/>
        <v>51</v>
      </c>
      <c r="AA77" s="333" t="str">
        <f t="shared" ca="1" si="48"/>
        <v/>
      </c>
      <c r="AB77" s="333" t="str">
        <f t="shared" ca="1" si="49"/>
        <v/>
      </c>
      <c r="AC77" s="333" t="str">
        <f t="shared" ca="1" si="50"/>
        <v/>
      </c>
      <c r="AD77" s="333" t="str">
        <f t="shared" ca="1" si="51"/>
        <v/>
      </c>
      <c r="AE77" s="333" t="str">
        <f t="shared" ca="1" si="52"/>
        <v/>
      </c>
      <c r="AG77" s="333">
        <f ca="1">IF(TYPE(VLOOKUP($A77,'1.kolo'!$L$3:$L$66,1,0))&gt;3,VLOOKUP($A77,'1.kolo'!$K$3:$L$66,2,0),VLOOKUP($A77,'1.kolo'!$L$3:$O$66,4,0))</f>
        <v>51</v>
      </c>
      <c r="AH77" s="333">
        <f ca="1">IF(TYPE(VLOOKUP($A77,'1.kolo'!$L$3:$L$66,1,0))&gt;3,VLOOKUP($A77,'1.kolo'!$O$3:$Q$66,2,0),VLOOKUP($A77,'1.kolo'!$L$3:$N$66,2,0))</f>
        <v>0</v>
      </c>
      <c r="AI77" s="333">
        <f ca="1">IF(TYPE(VLOOKUP($A77,'1.kolo'!$L$3:$L$66,1,0))&gt;3,VLOOKUP($A77,'1.kolo'!$O$3:$Q$66,3,0),VLOOKUP($A77,'1.kolo'!$L$3:$N$66,3,0))</f>
        <v>0</v>
      </c>
      <c r="AJ77" s="333">
        <f t="shared" ca="1" si="53"/>
        <v>0</v>
      </c>
      <c r="AK77" s="333">
        <v>75</v>
      </c>
      <c r="AL77" s="442"/>
      <c r="AP77" s="333" t="str">
        <f ca="1">IF(TYPE(VLOOKUP($A77,'2.kolo'!$L$3:$L$66,1,0))&gt;3,IF(TYPE(VLOOKUP($A77,'2.kolo'!$K$3:$L$66,2,0))&gt;3,0,VLOOKUP($A77,'2.kolo'!$K$3:$L$66,2,0)),VLOOKUP($A77,'2.kolo'!$L$3:$O$66,4,0))</f>
        <v/>
      </c>
      <c r="AQ77" s="333">
        <f ca="1">IF(TYPE(VLOOKUP($A77,'2.kolo'!$L$3:$L$66,1,0))&gt;3,IF(TYPE(VLOOKUP($A77,'2.kolo'!$O$3:$Q$66,2,0))&gt;3,0,VLOOKUP($A77,'2.kolo'!$O$3:$Q$66,2,0)),VLOOKUP($A77,'2.kolo'!$L$3:$N$66,2,0))</f>
        <v>0</v>
      </c>
      <c r="AR77" s="333">
        <f ca="1">IF(TYPE(VLOOKUP($A77,'2.kolo'!$L$3:$L$66,1,0))&gt;3,IF(TYPE(VLOOKUP($A77,'2.kolo'!$O$3:$Q$66,3,0))&gt;3,0,VLOOKUP($A77,'2.kolo'!$O$3:$Q$66,3,0)),VLOOKUP($A77,'2.kolo'!$L$3:$N$66,3,0))</f>
        <v>0</v>
      </c>
      <c r="AS77" s="333">
        <f t="shared" ca="1" si="54"/>
        <v>0</v>
      </c>
      <c r="AT77" s="415" t="s">
        <v>2005</v>
      </c>
      <c r="AU77" s="442" t="str">
        <f ca="1">IF(AT77="","",CONCATENATE(TEXT($O77,"0"),IF(Start.listina!$Y$5="","",TEXT(500+$P77,"000")),TEXT(999999*RAND(),"000000")))</f>
        <v/>
      </c>
      <c r="AV77" s="333">
        <f t="shared" ca="1" si="37"/>
        <v>0</v>
      </c>
      <c r="AY77" s="333" t="str">
        <f ca="1">IF(TYPE(VLOOKUP($A77,'3.kolo'!$L$3:$L$66,1,0))&gt;3,IF(TYPE(VLOOKUP($A77,'3.kolo'!$K$3:$L$66,2,0))&gt;3,0,VLOOKUP($A77,'3.kolo'!$K$3:$L$66,2,0)),VLOOKUP($A77,'3.kolo'!$L$3:$O$66,4,0))</f>
        <v/>
      </c>
      <c r="AZ77" s="333">
        <f ca="1">IF(TYPE(VLOOKUP($A77,'3.kolo'!$L$3:$L$66,1,0))&gt;3,IF(TYPE(VLOOKUP($A77,'3.kolo'!$O$3:$Q$66,2,0))&gt;3,0,VLOOKUP($A77,'3.kolo'!$O$3:$Q$66,2,0)),VLOOKUP($A77,'3.kolo'!$L$3:$N$66,2,0))</f>
        <v>0</v>
      </c>
      <c r="BA77" s="333">
        <f ca="1">IF(TYPE(VLOOKUP($A77,'3.kolo'!$L$3:$L$66,1,0))&gt;3,IF(TYPE(VLOOKUP($A77,'3.kolo'!$O$3:$Q$66,3,0))&gt;3,0,VLOOKUP($A77,'3.kolo'!$O$3:$Q$66,3,0)),VLOOKUP($A77,'3.kolo'!$L$3:$N$66,3,0))</f>
        <v>0</v>
      </c>
      <c r="BB77" s="333">
        <f t="shared" ca="1" si="55"/>
        <v>0</v>
      </c>
      <c r="BC77" s="415" t="s">
        <v>2005</v>
      </c>
      <c r="BD77" s="442" t="str">
        <f ca="1">IF(BC77="","",CONCATENATE(TEXT($O77,"0"),IF(Start.listina!$Y$5="","",TEXT(500+$P77,"000")),TEXT(999999*RAND(),"000000")))</f>
        <v/>
      </c>
      <c r="BE77" s="333">
        <f t="shared" ca="1" si="38"/>
        <v>0</v>
      </c>
      <c r="BH77" s="333" t="str">
        <f ca="1">IF(TYPE(VLOOKUP($A77,'4.kolo'!$L$3:$L$66,1,0))&gt;3,IF(TYPE(VLOOKUP($A77,'4.kolo'!$K$3:$L$66,2,0))&gt;3,0,VLOOKUP($A77,'4.kolo'!$K$3:$L$66,2,0)),VLOOKUP($A77,'4.kolo'!$L$3:$O$66,4,0))</f>
        <v/>
      </c>
      <c r="BI77" s="333">
        <f ca="1">IF(TYPE(VLOOKUP($A77,'4.kolo'!$L$3:$L$66,1,0))&gt;3,IF(TYPE(VLOOKUP($A77,'4.kolo'!$O$3:$Q$66,2,0))&gt;3,0,VLOOKUP($A77,'4.kolo'!$O$3:$Q$66,2,0)),VLOOKUP($A77,'4.kolo'!$L$3:$N$66,2,0))</f>
        <v>0</v>
      </c>
      <c r="BJ77" s="333">
        <f ca="1">IF(TYPE(VLOOKUP($A77,'4.kolo'!$L$3:$L$66,1,0))&gt;3,IF(TYPE(VLOOKUP($A77,'4.kolo'!$O$3:$Q$66,3,0))&gt;3,0,VLOOKUP($A77,'4.kolo'!$O$3:$Q$66,3,0)),VLOOKUP($A77,'4.kolo'!$L$3:$N$66,3,0))</f>
        <v>0</v>
      </c>
      <c r="BK77" s="333">
        <f t="shared" ca="1" si="56"/>
        <v>0</v>
      </c>
      <c r="BL77" s="415" t="s">
        <v>2005</v>
      </c>
      <c r="BM77" s="442" t="str">
        <f ca="1">IF(BL77="","",CONCATENATE(TEXT($O77,"0"),IF(Start.listina!$Y$5="","",TEXT(500+$P77,"000")),TEXT(999999*RAND(),"000000")))</f>
        <v/>
      </c>
      <c r="BN77" s="333">
        <f t="shared" ca="1" si="39"/>
        <v>0</v>
      </c>
      <c r="BQ77" s="333" t="str">
        <f ca="1">IF(TYPE(VLOOKUP($A77,'5.kolo'!$L$3:$L$66,1,0))&gt;3,IF(TYPE(VLOOKUP($A77,'5.kolo'!$K$3:$L$66,2,0))&gt;3,0,VLOOKUP($A77,'5.kolo'!$K$3:$L$66,2,0)),VLOOKUP($A77,'5.kolo'!$L$3:$O$66,4,0))</f>
        <v/>
      </c>
      <c r="BR77" s="333">
        <f ca="1">IF(TYPE(VLOOKUP($A77,'5.kolo'!$L$3:$L$66,1,0))&gt;3,IF(TYPE(VLOOKUP($A77,'5.kolo'!$O$3:$Q$66,2,0))&gt;3,0,VLOOKUP($A77,'5.kolo'!$O$3:$Q$66,2,0)),VLOOKUP($A77,'5.kolo'!$L$3:$N$66,2,0))</f>
        <v>0</v>
      </c>
      <c r="BS77" s="333">
        <f ca="1">IF(TYPE(VLOOKUP($A77,'5.kolo'!$L$3:$L$66,1,0))&gt;3,IF(TYPE(VLOOKUP($A77,'5.kolo'!$O$3:$Q$66,3,0))&gt;3,0,VLOOKUP($A77,'5.kolo'!$O$3:$Q$66,3,0)),VLOOKUP($A77,'5.kolo'!$L$3:$N$66,3,0))</f>
        <v>0</v>
      </c>
      <c r="BT77" s="333">
        <f t="shared" ca="1" si="57"/>
        <v>0</v>
      </c>
      <c r="BU77" s="415"/>
      <c r="BV77" s="442" t="str">
        <f ca="1">IF(BU77="","",CONCATENATE(TEXT($O77,"0"),IF(Start.listina!$Y$5="","",TEXT(500+$P77,"000")),TEXT(999999*RAND(),"000000")))</f>
        <v/>
      </c>
      <c r="BW77" s="333">
        <f t="shared" ca="1" si="40"/>
        <v>0</v>
      </c>
      <c r="BZ77" s="333" t="str">
        <f ca="1">IF(TYPE(VLOOKUP($A77,'6.kolo'!$L$3:$L$66,1,0))&gt;3,IF(TYPE(VLOOKUP($A77,'6.kolo'!$K$3:$L$66,2,0))&gt;3,0,VLOOKUP($A77,'6.kolo'!$K$3:$L$66,2,0)),VLOOKUP($A77,'6.kolo'!$L$3:$O$66,4,0))</f>
        <v/>
      </c>
      <c r="CA77" s="333">
        <f ca="1">IF(TYPE(VLOOKUP($A77,'6.kolo'!$L$3:$L$66,1,0))&gt;3,IF(TYPE(VLOOKUP($A77,'6.kolo'!$O$3:$Q$66,2,0))&gt;3,0,VLOOKUP($A77,'6.kolo'!$O$3:$Q$66,2,0)),VLOOKUP($A77,'6.kolo'!$L$3:$N$66,2,0))</f>
        <v>0</v>
      </c>
      <c r="CB77" s="333">
        <f ca="1">IF(TYPE(VLOOKUP($A77,'6.kolo'!$L$3:$L$66,1,0))&gt;3,IF(TYPE(VLOOKUP($A77,'6.kolo'!$O$3:$Q$66,3,0))&gt;3,0,VLOOKUP($A77,'6.kolo'!$O$3:$Q$66,3,0)),VLOOKUP($A77,'6.kolo'!$L$3:$N$66,3,0))</f>
        <v>0</v>
      </c>
      <c r="CC77" s="333">
        <f t="shared" ca="1" si="58"/>
        <v>0</v>
      </c>
      <c r="CD77" s="415"/>
      <c r="CE77" s="442" t="str">
        <f ca="1">IF(CD77="","",CONCATENATE(TEXT($O77,"0"),IF(Start.listina!$Y$5="","",TEXT(500+$P77,"000")),TEXT(999999*RAND(),"000000")))</f>
        <v/>
      </c>
      <c r="CF77" s="333">
        <f t="shared" ca="1" si="41"/>
        <v>0</v>
      </c>
    </row>
    <row r="78" spans="1:84" x14ac:dyDescent="0.25">
      <c r="A78" s="333" t="str">
        <f>IF(OR(Start.listina!H86&gt;Start.listina!$K$7,Start.listina!G86=TRUE),"",Start.listina!H86)</f>
        <v/>
      </c>
      <c r="B78" s="333" t="str">
        <f>IF($A78&gt;Start.listina!$K$7,"",INT(($A78-1)/Start.listina!$O$7)+1)</f>
        <v/>
      </c>
      <c r="C78" s="439" t="str">
        <f>IF(OR(Start.listina!H86&gt;Start.listina!$K$7,Start.listina!G86=TRUE)," - ",Start.listina!AL86)</f>
        <v xml:space="preserve"> - </v>
      </c>
      <c r="D78" s="333" t="str">
        <f>IF(OR(A78&gt;Start.listina!$K$7,TYPE(VLOOKUP(A78,$V$3:$X$130,3,0))&gt;3),"",VLOOKUP(A78,$V$3:$X$130,3,0))</f>
        <v/>
      </c>
      <c r="E78" s="440" t="str">
        <f>IF(A78&gt;Start.listina!$K$7,"",IF(MIN(F78:K78)&gt;Start.listina!$Y$4,D78,MIN(F78:K78)))</f>
        <v/>
      </c>
      <c r="F78" s="333">
        <f ca="1">IF(TYPE(VLOOKUP(C78,Konečné_pořadí_1_16!$B$2:$D$17,3,0))&lt;4,VLOOKUP(C78,Konečné_pořadí_1_16!$B$2:$D$17,3,0),999)</f>
        <v>999</v>
      </c>
      <c r="G78" s="333">
        <f ca="1">IF(TYPE(VLOOKUP(C78,'KO64'!$D$4:$D$129,1,0))&lt;4,64,999)</f>
        <v>64</v>
      </c>
      <c r="H78" s="333">
        <f ca="1">IF(TYPE(VLOOKUP(C78,'KO32'!$D$4:$D$65,1,0))&lt;4,32,999)</f>
        <v>32</v>
      </c>
      <c r="I78" s="333">
        <f ca="1">IF(TYPE(VLOOKUP(C78,'KO16'!$D$4:$D$33,1,0))&lt;4,16,999)</f>
        <v>999</v>
      </c>
      <c r="J78" s="333">
        <f ca="1">IF(TYPE(VLOOKUP(C78,'KO8'!$D$4:$D$17,1,0))&lt;4,8,999)</f>
        <v>999</v>
      </c>
      <c r="K78" s="333">
        <f ca="1">IF(TYPE(VLOOKUP(C78,'KO4'!$D$4:$D$9,1,0))&lt;4,4,999)</f>
        <v>999</v>
      </c>
      <c r="M78" s="334">
        <v>76</v>
      </c>
      <c r="O78" s="333">
        <f t="shared" ca="1" si="42"/>
        <v>0</v>
      </c>
      <c r="P78" s="333">
        <f t="shared" ca="1" si="43"/>
        <v>0</v>
      </c>
      <c r="Q78" s="333">
        <f t="shared" ca="1" si="34"/>
        <v>2</v>
      </c>
      <c r="R78" s="333">
        <f t="shared" ca="1" si="35"/>
        <v>0</v>
      </c>
      <c r="S78" s="333">
        <f t="shared" ca="1" si="44"/>
        <v>16</v>
      </c>
      <c r="T78" s="333">
        <f t="shared" ca="1" si="45"/>
        <v>0</v>
      </c>
      <c r="U78" s="415">
        <f t="shared" si="59"/>
        <v>76</v>
      </c>
      <c r="V78" s="415" t="s">
        <v>2005</v>
      </c>
      <c r="W78" s="441" t="str">
        <f ca="1">IF($V78="","",CONCATENATE(TEXT($O78,"0"),IF(Start.listina!$Y$5="","",TEXT(500+$P78,"0000")),IF(Start.listina!$Y$6="","",CHOOSE(Start.listina!$Y$7,TEXT($Q78,"00"),CONCATENATE(TEXT($Q78,"00"),TEXT($S78,"000")), TEXT($R78,"00"))),TEXT(500+$P78,"0000"),IF(Start.listina!$Y$8="","",TEXT($T78,"0")),TEXT(999999*RAND(),"000000")))</f>
        <v/>
      </c>
      <c r="X78" s="417">
        <f t="shared" si="46"/>
        <v>76</v>
      </c>
      <c r="Y78" s="415">
        <f t="shared" ca="1" si="36"/>
        <v>0</v>
      </c>
      <c r="Z78" s="333">
        <f t="shared" ca="1" si="47"/>
        <v>51</v>
      </c>
      <c r="AA78" s="333" t="str">
        <f t="shared" ca="1" si="48"/>
        <v/>
      </c>
      <c r="AB78" s="333" t="str">
        <f t="shared" ca="1" si="49"/>
        <v/>
      </c>
      <c r="AC78" s="333" t="str">
        <f t="shared" ca="1" si="50"/>
        <v/>
      </c>
      <c r="AD78" s="333" t="str">
        <f t="shared" ca="1" si="51"/>
        <v/>
      </c>
      <c r="AE78" s="333" t="str">
        <f t="shared" ca="1" si="52"/>
        <v/>
      </c>
      <c r="AG78" s="333">
        <f ca="1">IF(TYPE(VLOOKUP($A78,'1.kolo'!$L$3:$L$66,1,0))&gt;3,VLOOKUP($A78,'1.kolo'!$K$3:$L$66,2,0),VLOOKUP($A78,'1.kolo'!$L$3:$O$66,4,0))</f>
        <v>51</v>
      </c>
      <c r="AH78" s="333">
        <f ca="1">IF(TYPE(VLOOKUP($A78,'1.kolo'!$L$3:$L$66,1,0))&gt;3,VLOOKUP($A78,'1.kolo'!$O$3:$Q$66,2,0),VLOOKUP($A78,'1.kolo'!$L$3:$N$66,2,0))</f>
        <v>0</v>
      </c>
      <c r="AI78" s="333">
        <f ca="1">IF(TYPE(VLOOKUP($A78,'1.kolo'!$L$3:$L$66,1,0))&gt;3,VLOOKUP($A78,'1.kolo'!$O$3:$Q$66,3,0),VLOOKUP($A78,'1.kolo'!$L$3:$N$66,3,0))</f>
        <v>0</v>
      </c>
      <c r="AJ78" s="333">
        <f t="shared" ca="1" si="53"/>
        <v>0</v>
      </c>
      <c r="AK78" s="333">
        <v>76</v>
      </c>
      <c r="AL78" s="442"/>
      <c r="AP78" s="333" t="str">
        <f ca="1">IF(TYPE(VLOOKUP($A78,'2.kolo'!$L$3:$L$66,1,0))&gt;3,IF(TYPE(VLOOKUP($A78,'2.kolo'!$K$3:$L$66,2,0))&gt;3,0,VLOOKUP($A78,'2.kolo'!$K$3:$L$66,2,0)),VLOOKUP($A78,'2.kolo'!$L$3:$O$66,4,0))</f>
        <v/>
      </c>
      <c r="AQ78" s="333">
        <f ca="1">IF(TYPE(VLOOKUP($A78,'2.kolo'!$L$3:$L$66,1,0))&gt;3,IF(TYPE(VLOOKUP($A78,'2.kolo'!$O$3:$Q$66,2,0))&gt;3,0,VLOOKUP($A78,'2.kolo'!$O$3:$Q$66,2,0)),VLOOKUP($A78,'2.kolo'!$L$3:$N$66,2,0))</f>
        <v>0</v>
      </c>
      <c r="AR78" s="333">
        <f ca="1">IF(TYPE(VLOOKUP($A78,'2.kolo'!$L$3:$L$66,1,0))&gt;3,IF(TYPE(VLOOKUP($A78,'2.kolo'!$O$3:$Q$66,3,0))&gt;3,0,VLOOKUP($A78,'2.kolo'!$O$3:$Q$66,3,0)),VLOOKUP($A78,'2.kolo'!$L$3:$N$66,3,0))</f>
        <v>0</v>
      </c>
      <c r="AS78" s="333">
        <f t="shared" ca="1" si="54"/>
        <v>0</v>
      </c>
      <c r="AT78" s="415" t="s">
        <v>2005</v>
      </c>
      <c r="AU78" s="442" t="str">
        <f ca="1">IF(AT78="","",CONCATENATE(TEXT($O78,"0"),IF(Start.listina!$Y$5="","",TEXT(500+$P78,"000")),TEXT(999999*RAND(),"000000")))</f>
        <v/>
      </c>
      <c r="AV78" s="333">
        <f t="shared" ca="1" si="37"/>
        <v>0</v>
      </c>
      <c r="AY78" s="333" t="str">
        <f ca="1">IF(TYPE(VLOOKUP($A78,'3.kolo'!$L$3:$L$66,1,0))&gt;3,IF(TYPE(VLOOKUP($A78,'3.kolo'!$K$3:$L$66,2,0))&gt;3,0,VLOOKUP($A78,'3.kolo'!$K$3:$L$66,2,0)),VLOOKUP($A78,'3.kolo'!$L$3:$O$66,4,0))</f>
        <v/>
      </c>
      <c r="AZ78" s="333">
        <f ca="1">IF(TYPE(VLOOKUP($A78,'3.kolo'!$L$3:$L$66,1,0))&gt;3,IF(TYPE(VLOOKUP($A78,'3.kolo'!$O$3:$Q$66,2,0))&gt;3,0,VLOOKUP($A78,'3.kolo'!$O$3:$Q$66,2,0)),VLOOKUP($A78,'3.kolo'!$L$3:$N$66,2,0))</f>
        <v>0</v>
      </c>
      <c r="BA78" s="333">
        <f ca="1">IF(TYPE(VLOOKUP($A78,'3.kolo'!$L$3:$L$66,1,0))&gt;3,IF(TYPE(VLOOKUP($A78,'3.kolo'!$O$3:$Q$66,3,0))&gt;3,0,VLOOKUP($A78,'3.kolo'!$O$3:$Q$66,3,0)),VLOOKUP($A78,'3.kolo'!$L$3:$N$66,3,0))</f>
        <v>0</v>
      </c>
      <c r="BB78" s="333">
        <f t="shared" ca="1" si="55"/>
        <v>0</v>
      </c>
      <c r="BC78" s="415" t="s">
        <v>2005</v>
      </c>
      <c r="BD78" s="442" t="str">
        <f ca="1">IF(BC78="","",CONCATENATE(TEXT($O78,"0"),IF(Start.listina!$Y$5="","",TEXT(500+$P78,"000")),TEXT(999999*RAND(),"000000")))</f>
        <v/>
      </c>
      <c r="BE78" s="333">
        <f t="shared" ca="1" si="38"/>
        <v>0</v>
      </c>
      <c r="BH78" s="333" t="str">
        <f ca="1">IF(TYPE(VLOOKUP($A78,'4.kolo'!$L$3:$L$66,1,0))&gt;3,IF(TYPE(VLOOKUP($A78,'4.kolo'!$K$3:$L$66,2,0))&gt;3,0,VLOOKUP($A78,'4.kolo'!$K$3:$L$66,2,0)),VLOOKUP($A78,'4.kolo'!$L$3:$O$66,4,0))</f>
        <v/>
      </c>
      <c r="BI78" s="333">
        <f ca="1">IF(TYPE(VLOOKUP($A78,'4.kolo'!$L$3:$L$66,1,0))&gt;3,IF(TYPE(VLOOKUP($A78,'4.kolo'!$O$3:$Q$66,2,0))&gt;3,0,VLOOKUP($A78,'4.kolo'!$O$3:$Q$66,2,0)),VLOOKUP($A78,'4.kolo'!$L$3:$N$66,2,0))</f>
        <v>0</v>
      </c>
      <c r="BJ78" s="333">
        <f ca="1">IF(TYPE(VLOOKUP($A78,'4.kolo'!$L$3:$L$66,1,0))&gt;3,IF(TYPE(VLOOKUP($A78,'4.kolo'!$O$3:$Q$66,3,0))&gt;3,0,VLOOKUP($A78,'4.kolo'!$O$3:$Q$66,3,0)),VLOOKUP($A78,'4.kolo'!$L$3:$N$66,3,0))</f>
        <v>0</v>
      </c>
      <c r="BK78" s="333">
        <f t="shared" ca="1" si="56"/>
        <v>0</v>
      </c>
      <c r="BL78" s="415" t="s">
        <v>2005</v>
      </c>
      <c r="BM78" s="442" t="str">
        <f ca="1">IF(BL78="","",CONCATENATE(TEXT($O78,"0"),IF(Start.listina!$Y$5="","",TEXT(500+$P78,"000")),TEXT(999999*RAND(),"000000")))</f>
        <v/>
      </c>
      <c r="BN78" s="333">
        <f t="shared" ca="1" si="39"/>
        <v>0</v>
      </c>
      <c r="BQ78" s="333" t="str">
        <f ca="1">IF(TYPE(VLOOKUP($A78,'5.kolo'!$L$3:$L$66,1,0))&gt;3,IF(TYPE(VLOOKUP($A78,'5.kolo'!$K$3:$L$66,2,0))&gt;3,0,VLOOKUP($A78,'5.kolo'!$K$3:$L$66,2,0)),VLOOKUP($A78,'5.kolo'!$L$3:$O$66,4,0))</f>
        <v/>
      </c>
      <c r="BR78" s="333">
        <f ca="1">IF(TYPE(VLOOKUP($A78,'5.kolo'!$L$3:$L$66,1,0))&gt;3,IF(TYPE(VLOOKUP($A78,'5.kolo'!$O$3:$Q$66,2,0))&gt;3,0,VLOOKUP($A78,'5.kolo'!$O$3:$Q$66,2,0)),VLOOKUP($A78,'5.kolo'!$L$3:$N$66,2,0))</f>
        <v>0</v>
      </c>
      <c r="BS78" s="333">
        <f ca="1">IF(TYPE(VLOOKUP($A78,'5.kolo'!$L$3:$L$66,1,0))&gt;3,IF(TYPE(VLOOKUP($A78,'5.kolo'!$O$3:$Q$66,3,0))&gt;3,0,VLOOKUP($A78,'5.kolo'!$O$3:$Q$66,3,0)),VLOOKUP($A78,'5.kolo'!$L$3:$N$66,3,0))</f>
        <v>0</v>
      </c>
      <c r="BT78" s="333">
        <f t="shared" ca="1" si="57"/>
        <v>0</v>
      </c>
      <c r="BU78" s="415"/>
      <c r="BV78" s="442" t="str">
        <f ca="1">IF(BU78="","",CONCATENATE(TEXT($O78,"0"),IF(Start.listina!$Y$5="","",TEXT(500+$P78,"000")),TEXT(999999*RAND(),"000000")))</f>
        <v/>
      </c>
      <c r="BW78" s="333">
        <f t="shared" ca="1" si="40"/>
        <v>0</v>
      </c>
      <c r="BZ78" s="333" t="str">
        <f ca="1">IF(TYPE(VLOOKUP($A78,'6.kolo'!$L$3:$L$66,1,0))&gt;3,IF(TYPE(VLOOKUP($A78,'6.kolo'!$K$3:$L$66,2,0))&gt;3,0,VLOOKUP($A78,'6.kolo'!$K$3:$L$66,2,0)),VLOOKUP($A78,'6.kolo'!$L$3:$O$66,4,0))</f>
        <v/>
      </c>
      <c r="CA78" s="333">
        <f ca="1">IF(TYPE(VLOOKUP($A78,'6.kolo'!$L$3:$L$66,1,0))&gt;3,IF(TYPE(VLOOKUP($A78,'6.kolo'!$O$3:$Q$66,2,0))&gt;3,0,VLOOKUP($A78,'6.kolo'!$O$3:$Q$66,2,0)),VLOOKUP($A78,'6.kolo'!$L$3:$N$66,2,0))</f>
        <v>0</v>
      </c>
      <c r="CB78" s="333">
        <f ca="1">IF(TYPE(VLOOKUP($A78,'6.kolo'!$L$3:$L$66,1,0))&gt;3,IF(TYPE(VLOOKUP($A78,'6.kolo'!$O$3:$Q$66,3,0))&gt;3,0,VLOOKUP($A78,'6.kolo'!$O$3:$Q$66,3,0)),VLOOKUP($A78,'6.kolo'!$L$3:$N$66,3,0))</f>
        <v>0</v>
      </c>
      <c r="CC78" s="333">
        <f t="shared" ca="1" si="58"/>
        <v>0</v>
      </c>
      <c r="CD78" s="415"/>
      <c r="CE78" s="442" t="str">
        <f ca="1">IF(CD78="","",CONCATENATE(TEXT($O78,"0"),IF(Start.listina!$Y$5="","",TEXT(500+$P78,"000")),TEXT(999999*RAND(),"000000")))</f>
        <v/>
      </c>
      <c r="CF78" s="333">
        <f t="shared" ca="1" si="41"/>
        <v>0</v>
      </c>
    </row>
    <row r="79" spans="1:84" x14ac:dyDescent="0.25">
      <c r="A79" s="333" t="str">
        <f>IF(OR(Start.listina!H87&gt;Start.listina!$K$7,Start.listina!G87=TRUE),"",Start.listina!H87)</f>
        <v/>
      </c>
      <c r="B79" s="333" t="str">
        <f>IF($A79&gt;Start.listina!$K$7,"",INT(($A79-1)/Start.listina!$O$7)+1)</f>
        <v/>
      </c>
      <c r="C79" s="439" t="str">
        <f>IF(OR(Start.listina!H87&gt;Start.listina!$K$7,Start.listina!G87=TRUE)," - ",Start.listina!AL87)</f>
        <v xml:space="preserve"> - </v>
      </c>
      <c r="D79" s="333" t="str">
        <f>IF(OR(A79&gt;Start.listina!$K$7,TYPE(VLOOKUP(A79,$V$3:$X$130,3,0))&gt;3),"",VLOOKUP(A79,$V$3:$X$130,3,0))</f>
        <v/>
      </c>
      <c r="E79" s="440" t="str">
        <f>IF(A79&gt;Start.listina!$K$7,"",IF(MIN(F79:K79)&gt;Start.listina!$Y$4,D79,MIN(F79:K79)))</f>
        <v/>
      </c>
      <c r="F79" s="333">
        <f ca="1">IF(TYPE(VLOOKUP(C79,Konečné_pořadí_1_16!$B$2:$D$17,3,0))&lt;4,VLOOKUP(C79,Konečné_pořadí_1_16!$B$2:$D$17,3,0),999)</f>
        <v>999</v>
      </c>
      <c r="G79" s="333">
        <f ca="1">IF(TYPE(VLOOKUP(C79,'KO64'!$D$4:$D$129,1,0))&lt;4,64,999)</f>
        <v>64</v>
      </c>
      <c r="H79" s="333">
        <f ca="1">IF(TYPE(VLOOKUP(C79,'KO32'!$D$4:$D$65,1,0))&lt;4,32,999)</f>
        <v>32</v>
      </c>
      <c r="I79" s="333">
        <f ca="1">IF(TYPE(VLOOKUP(C79,'KO16'!$D$4:$D$33,1,0))&lt;4,16,999)</f>
        <v>999</v>
      </c>
      <c r="J79" s="333">
        <f ca="1">IF(TYPE(VLOOKUP(C79,'KO8'!$D$4:$D$17,1,0))&lt;4,8,999)</f>
        <v>999</v>
      </c>
      <c r="K79" s="333">
        <f ca="1">IF(TYPE(VLOOKUP(C79,'KO4'!$D$4:$D$9,1,0))&lt;4,4,999)</f>
        <v>999</v>
      </c>
      <c r="M79" s="334">
        <v>77</v>
      </c>
      <c r="O79" s="333">
        <f t="shared" ca="1" si="42"/>
        <v>0</v>
      </c>
      <c r="P79" s="333">
        <f t="shared" ca="1" si="43"/>
        <v>0</v>
      </c>
      <c r="Q79" s="333">
        <f t="shared" ca="1" si="34"/>
        <v>2</v>
      </c>
      <c r="R79" s="333">
        <f t="shared" ca="1" si="35"/>
        <v>0</v>
      </c>
      <c r="S79" s="333">
        <f t="shared" ca="1" si="44"/>
        <v>16</v>
      </c>
      <c r="T79" s="333">
        <f t="shared" ca="1" si="45"/>
        <v>0</v>
      </c>
      <c r="U79" s="415">
        <f t="shared" si="59"/>
        <v>77</v>
      </c>
      <c r="V79" s="415" t="s">
        <v>2005</v>
      </c>
      <c r="W79" s="441" t="str">
        <f ca="1">IF($V79="","",CONCATENATE(TEXT($O79,"0"),IF(Start.listina!$Y$5="","",TEXT(500+$P79,"0000")),IF(Start.listina!$Y$6="","",CHOOSE(Start.listina!$Y$7,TEXT($Q79,"00"),CONCATENATE(TEXT($Q79,"00"),TEXT($S79,"000")), TEXT($R79,"00"))),TEXT(500+$P79,"0000"),IF(Start.listina!$Y$8="","",TEXT($T79,"0")),TEXT(999999*RAND(),"000000")))</f>
        <v/>
      </c>
      <c r="X79" s="417">
        <f t="shared" si="46"/>
        <v>77</v>
      </c>
      <c r="Y79" s="415">
        <f t="shared" ca="1" si="36"/>
        <v>0</v>
      </c>
      <c r="Z79" s="333">
        <f t="shared" ca="1" si="47"/>
        <v>51</v>
      </c>
      <c r="AA79" s="333" t="str">
        <f t="shared" ca="1" si="48"/>
        <v/>
      </c>
      <c r="AB79" s="333" t="str">
        <f t="shared" ca="1" si="49"/>
        <v/>
      </c>
      <c r="AC79" s="333" t="str">
        <f t="shared" ca="1" si="50"/>
        <v/>
      </c>
      <c r="AD79" s="333" t="str">
        <f t="shared" ca="1" si="51"/>
        <v/>
      </c>
      <c r="AE79" s="333" t="str">
        <f t="shared" ca="1" si="52"/>
        <v/>
      </c>
      <c r="AG79" s="333">
        <f ca="1">IF(TYPE(VLOOKUP($A79,'1.kolo'!$L$3:$L$66,1,0))&gt;3,VLOOKUP($A79,'1.kolo'!$K$3:$L$66,2,0),VLOOKUP($A79,'1.kolo'!$L$3:$O$66,4,0))</f>
        <v>51</v>
      </c>
      <c r="AH79" s="333">
        <f ca="1">IF(TYPE(VLOOKUP($A79,'1.kolo'!$L$3:$L$66,1,0))&gt;3,VLOOKUP($A79,'1.kolo'!$O$3:$Q$66,2,0),VLOOKUP($A79,'1.kolo'!$L$3:$N$66,2,0))</f>
        <v>0</v>
      </c>
      <c r="AI79" s="333">
        <f ca="1">IF(TYPE(VLOOKUP($A79,'1.kolo'!$L$3:$L$66,1,0))&gt;3,VLOOKUP($A79,'1.kolo'!$O$3:$Q$66,3,0),VLOOKUP($A79,'1.kolo'!$L$3:$N$66,3,0))</f>
        <v>0</v>
      </c>
      <c r="AJ79" s="333">
        <f t="shared" ca="1" si="53"/>
        <v>0</v>
      </c>
      <c r="AK79" s="333">
        <v>77</v>
      </c>
      <c r="AL79" s="442"/>
      <c r="AP79" s="333" t="str">
        <f ca="1">IF(TYPE(VLOOKUP($A79,'2.kolo'!$L$3:$L$66,1,0))&gt;3,IF(TYPE(VLOOKUP($A79,'2.kolo'!$K$3:$L$66,2,0))&gt;3,0,VLOOKUP($A79,'2.kolo'!$K$3:$L$66,2,0)),VLOOKUP($A79,'2.kolo'!$L$3:$O$66,4,0))</f>
        <v/>
      </c>
      <c r="AQ79" s="333">
        <f ca="1">IF(TYPE(VLOOKUP($A79,'2.kolo'!$L$3:$L$66,1,0))&gt;3,IF(TYPE(VLOOKUP($A79,'2.kolo'!$O$3:$Q$66,2,0))&gt;3,0,VLOOKUP($A79,'2.kolo'!$O$3:$Q$66,2,0)),VLOOKUP($A79,'2.kolo'!$L$3:$N$66,2,0))</f>
        <v>0</v>
      </c>
      <c r="AR79" s="333">
        <f ca="1">IF(TYPE(VLOOKUP($A79,'2.kolo'!$L$3:$L$66,1,0))&gt;3,IF(TYPE(VLOOKUP($A79,'2.kolo'!$O$3:$Q$66,3,0))&gt;3,0,VLOOKUP($A79,'2.kolo'!$O$3:$Q$66,3,0)),VLOOKUP($A79,'2.kolo'!$L$3:$N$66,3,0))</f>
        <v>0</v>
      </c>
      <c r="AS79" s="333">
        <f t="shared" ca="1" si="54"/>
        <v>0</v>
      </c>
      <c r="AT79" s="415" t="s">
        <v>2005</v>
      </c>
      <c r="AU79" s="442" t="str">
        <f ca="1">IF(AT79="","",CONCATENATE(TEXT($O79,"0"),IF(Start.listina!$Y$5="","",TEXT(500+$P79,"000")),TEXT(999999*RAND(),"000000")))</f>
        <v/>
      </c>
      <c r="AV79" s="333">
        <f t="shared" ca="1" si="37"/>
        <v>0</v>
      </c>
      <c r="AY79" s="333" t="str">
        <f ca="1">IF(TYPE(VLOOKUP($A79,'3.kolo'!$L$3:$L$66,1,0))&gt;3,IF(TYPE(VLOOKUP($A79,'3.kolo'!$K$3:$L$66,2,0))&gt;3,0,VLOOKUP($A79,'3.kolo'!$K$3:$L$66,2,0)),VLOOKUP($A79,'3.kolo'!$L$3:$O$66,4,0))</f>
        <v/>
      </c>
      <c r="AZ79" s="333">
        <f ca="1">IF(TYPE(VLOOKUP($A79,'3.kolo'!$L$3:$L$66,1,0))&gt;3,IF(TYPE(VLOOKUP($A79,'3.kolo'!$O$3:$Q$66,2,0))&gt;3,0,VLOOKUP($A79,'3.kolo'!$O$3:$Q$66,2,0)),VLOOKUP($A79,'3.kolo'!$L$3:$N$66,2,0))</f>
        <v>0</v>
      </c>
      <c r="BA79" s="333">
        <f ca="1">IF(TYPE(VLOOKUP($A79,'3.kolo'!$L$3:$L$66,1,0))&gt;3,IF(TYPE(VLOOKUP($A79,'3.kolo'!$O$3:$Q$66,3,0))&gt;3,0,VLOOKUP($A79,'3.kolo'!$O$3:$Q$66,3,0)),VLOOKUP($A79,'3.kolo'!$L$3:$N$66,3,0))</f>
        <v>0</v>
      </c>
      <c r="BB79" s="333">
        <f t="shared" ca="1" si="55"/>
        <v>0</v>
      </c>
      <c r="BC79" s="415" t="s">
        <v>2005</v>
      </c>
      <c r="BD79" s="442" t="str">
        <f ca="1">IF(BC79="","",CONCATENATE(TEXT($O79,"0"),IF(Start.listina!$Y$5="","",TEXT(500+$P79,"000")),TEXT(999999*RAND(),"000000")))</f>
        <v/>
      </c>
      <c r="BE79" s="333">
        <f t="shared" ca="1" si="38"/>
        <v>0</v>
      </c>
      <c r="BH79" s="333" t="str">
        <f ca="1">IF(TYPE(VLOOKUP($A79,'4.kolo'!$L$3:$L$66,1,0))&gt;3,IF(TYPE(VLOOKUP($A79,'4.kolo'!$K$3:$L$66,2,0))&gt;3,0,VLOOKUP($A79,'4.kolo'!$K$3:$L$66,2,0)),VLOOKUP($A79,'4.kolo'!$L$3:$O$66,4,0))</f>
        <v/>
      </c>
      <c r="BI79" s="333">
        <f ca="1">IF(TYPE(VLOOKUP($A79,'4.kolo'!$L$3:$L$66,1,0))&gt;3,IF(TYPE(VLOOKUP($A79,'4.kolo'!$O$3:$Q$66,2,0))&gt;3,0,VLOOKUP($A79,'4.kolo'!$O$3:$Q$66,2,0)),VLOOKUP($A79,'4.kolo'!$L$3:$N$66,2,0))</f>
        <v>0</v>
      </c>
      <c r="BJ79" s="333">
        <f ca="1">IF(TYPE(VLOOKUP($A79,'4.kolo'!$L$3:$L$66,1,0))&gt;3,IF(TYPE(VLOOKUP($A79,'4.kolo'!$O$3:$Q$66,3,0))&gt;3,0,VLOOKUP($A79,'4.kolo'!$O$3:$Q$66,3,0)),VLOOKUP($A79,'4.kolo'!$L$3:$N$66,3,0))</f>
        <v>0</v>
      </c>
      <c r="BK79" s="333">
        <f t="shared" ca="1" si="56"/>
        <v>0</v>
      </c>
      <c r="BL79" s="415" t="s">
        <v>2005</v>
      </c>
      <c r="BM79" s="442" t="str">
        <f ca="1">IF(BL79="","",CONCATENATE(TEXT($O79,"0"),IF(Start.listina!$Y$5="","",TEXT(500+$P79,"000")),TEXT(999999*RAND(),"000000")))</f>
        <v/>
      </c>
      <c r="BN79" s="333">
        <f t="shared" ca="1" si="39"/>
        <v>0</v>
      </c>
      <c r="BQ79" s="333" t="str">
        <f ca="1">IF(TYPE(VLOOKUP($A79,'5.kolo'!$L$3:$L$66,1,0))&gt;3,IF(TYPE(VLOOKUP($A79,'5.kolo'!$K$3:$L$66,2,0))&gt;3,0,VLOOKUP($A79,'5.kolo'!$K$3:$L$66,2,0)),VLOOKUP($A79,'5.kolo'!$L$3:$O$66,4,0))</f>
        <v/>
      </c>
      <c r="BR79" s="333">
        <f ca="1">IF(TYPE(VLOOKUP($A79,'5.kolo'!$L$3:$L$66,1,0))&gt;3,IF(TYPE(VLOOKUP($A79,'5.kolo'!$O$3:$Q$66,2,0))&gt;3,0,VLOOKUP($A79,'5.kolo'!$O$3:$Q$66,2,0)),VLOOKUP($A79,'5.kolo'!$L$3:$N$66,2,0))</f>
        <v>0</v>
      </c>
      <c r="BS79" s="333">
        <f ca="1">IF(TYPE(VLOOKUP($A79,'5.kolo'!$L$3:$L$66,1,0))&gt;3,IF(TYPE(VLOOKUP($A79,'5.kolo'!$O$3:$Q$66,3,0))&gt;3,0,VLOOKUP($A79,'5.kolo'!$O$3:$Q$66,3,0)),VLOOKUP($A79,'5.kolo'!$L$3:$N$66,3,0))</f>
        <v>0</v>
      </c>
      <c r="BT79" s="333">
        <f t="shared" ca="1" si="57"/>
        <v>0</v>
      </c>
      <c r="BU79" s="415"/>
      <c r="BV79" s="442" t="str">
        <f ca="1">IF(BU79="","",CONCATENATE(TEXT($O79,"0"),IF(Start.listina!$Y$5="","",TEXT(500+$P79,"000")),TEXT(999999*RAND(),"000000")))</f>
        <v/>
      </c>
      <c r="BW79" s="333">
        <f t="shared" ca="1" si="40"/>
        <v>0</v>
      </c>
      <c r="BZ79" s="333" t="str">
        <f ca="1">IF(TYPE(VLOOKUP($A79,'6.kolo'!$L$3:$L$66,1,0))&gt;3,IF(TYPE(VLOOKUP($A79,'6.kolo'!$K$3:$L$66,2,0))&gt;3,0,VLOOKUP($A79,'6.kolo'!$K$3:$L$66,2,0)),VLOOKUP($A79,'6.kolo'!$L$3:$O$66,4,0))</f>
        <v/>
      </c>
      <c r="CA79" s="333">
        <f ca="1">IF(TYPE(VLOOKUP($A79,'6.kolo'!$L$3:$L$66,1,0))&gt;3,IF(TYPE(VLOOKUP($A79,'6.kolo'!$O$3:$Q$66,2,0))&gt;3,0,VLOOKUP($A79,'6.kolo'!$O$3:$Q$66,2,0)),VLOOKUP($A79,'6.kolo'!$L$3:$N$66,2,0))</f>
        <v>0</v>
      </c>
      <c r="CB79" s="333">
        <f ca="1">IF(TYPE(VLOOKUP($A79,'6.kolo'!$L$3:$L$66,1,0))&gt;3,IF(TYPE(VLOOKUP($A79,'6.kolo'!$O$3:$Q$66,3,0))&gt;3,0,VLOOKUP($A79,'6.kolo'!$O$3:$Q$66,3,0)),VLOOKUP($A79,'6.kolo'!$L$3:$N$66,3,0))</f>
        <v>0</v>
      </c>
      <c r="CC79" s="333">
        <f t="shared" ca="1" si="58"/>
        <v>0</v>
      </c>
      <c r="CD79" s="415"/>
      <c r="CE79" s="442" t="str">
        <f ca="1">IF(CD79="","",CONCATENATE(TEXT($O79,"0"),IF(Start.listina!$Y$5="","",TEXT(500+$P79,"000")),TEXT(999999*RAND(),"000000")))</f>
        <v/>
      </c>
      <c r="CF79" s="333">
        <f t="shared" ca="1" si="41"/>
        <v>0</v>
      </c>
    </row>
    <row r="80" spans="1:84" x14ac:dyDescent="0.25">
      <c r="A80" s="333" t="str">
        <f>IF(OR(Start.listina!H88&gt;Start.listina!$K$7,Start.listina!G88=TRUE),"",Start.listina!H88)</f>
        <v/>
      </c>
      <c r="B80" s="333" t="str">
        <f>IF($A80&gt;Start.listina!$K$7,"",INT(($A80-1)/Start.listina!$O$7)+1)</f>
        <v/>
      </c>
      <c r="C80" s="439" t="str">
        <f>IF(OR(Start.listina!H88&gt;Start.listina!$K$7,Start.listina!G88=TRUE)," - ",Start.listina!AL88)</f>
        <v xml:space="preserve"> - </v>
      </c>
      <c r="D80" s="333" t="str">
        <f>IF(OR(A80&gt;Start.listina!$K$7,TYPE(VLOOKUP(A80,$V$3:$X$130,3,0))&gt;3),"",VLOOKUP(A80,$V$3:$X$130,3,0))</f>
        <v/>
      </c>
      <c r="E80" s="440" t="str">
        <f>IF(A80&gt;Start.listina!$K$7,"",IF(MIN(F80:K80)&gt;Start.listina!$Y$4,D80,MIN(F80:K80)))</f>
        <v/>
      </c>
      <c r="F80" s="333">
        <f ca="1">IF(TYPE(VLOOKUP(C80,Konečné_pořadí_1_16!$B$2:$D$17,3,0))&lt;4,VLOOKUP(C80,Konečné_pořadí_1_16!$B$2:$D$17,3,0),999)</f>
        <v>999</v>
      </c>
      <c r="G80" s="333">
        <f ca="1">IF(TYPE(VLOOKUP(C80,'KO64'!$D$4:$D$129,1,0))&lt;4,64,999)</f>
        <v>64</v>
      </c>
      <c r="H80" s="333">
        <f ca="1">IF(TYPE(VLOOKUP(C80,'KO32'!$D$4:$D$65,1,0))&lt;4,32,999)</f>
        <v>32</v>
      </c>
      <c r="I80" s="333">
        <f ca="1">IF(TYPE(VLOOKUP(C80,'KO16'!$D$4:$D$33,1,0))&lt;4,16,999)</f>
        <v>999</v>
      </c>
      <c r="J80" s="333">
        <f ca="1">IF(TYPE(VLOOKUP(C80,'KO8'!$D$4:$D$17,1,0))&lt;4,8,999)</f>
        <v>999</v>
      </c>
      <c r="K80" s="333">
        <f ca="1">IF(TYPE(VLOOKUP(C80,'KO4'!$D$4:$D$9,1,0))&lt;4,4,999)</f>
        <v>999</v>
      </c>
      <c r="M80" s="334">
        <v>78</v>
      </c>
      <c r="O80" s="333">
        <f t="shared" ca="1" si="42"/>
        <v>0</v>
      </c>
      <c r="P80" s="333">
        <f t="shared" ca="1" si="43"/>
        <v>0</v>
      </c>
      <c r="Q80" s="333">
        <f t="shared" ca="1" si="34"/>
        <v>2</v>
      </c>
      <c r="R80" s="333">
        <f t="shared" ca="1" si="35"/>
        <v>0</v>
      </c>
      <c r="S80" s="333">
        <f t="shared" ca="1" si="44"/>
        <v>16</v>
      </c>
      <c r="T80" s="333">
        <f t="shared" ca="1" si="45"/>
        <v>0</v>
      </c>
      <c r="U80" s="415">
        <f t="shared" si="59"/>
        <v>78</v>
      </c>
      <c r="V80" s="415" t="s">
        <v>2005</v>
      </c>
      <c r="W80" s="441" t="str">
        <f ca="1">IF($V80="","",CONCATENATE(TEXT($O80,"0"),IF(Start.listina!$Y$5="","",TEXT(500+$P80,"0000")),IF(Start.listina!$Y$6="","",CHOOSE(Start.listina!$Y$7,TEXT($Q80,"00"),CONCATENATE(TEXT($Q80,"00"),TEXT($S80,"000")), TEXT($R80,"00"))),TEXT(500+$P80,"0000"),IF(Start.listina!$Y$8="","",TEXT($T80,"0")),TEXT(999999*RAND(),"000000")))</f>
        <v/>
      </c>
      <c r="X80" s="417">
        <f t="shared" si="46"/>
        <v>78</v>
      </c>
      <c r="Y80" s="415">
        <f t="shared" ca="1" si="36"/>
        <v>0</v>
      </c>
      <c r="Z80" s="333">
        <f t="shared" ca="1" si="47"/>
        <v>51</v>
      </c>
      <c r="AA80" s="333" t="str">
        <f t="shared" ca="1" si="48"/>
        <v/>
      </c>
      <c r="AB80" s="333" t="str">
        <f t="shared" ca="1" si="49"/>
        <v/>
      </c>
      <c r="AC80" s="333" t="str">
        <f t="shared" ca="1" si="50"/>
        <v/>
      </c>
      <c r="AD80" s="333" t="str">
        <f t="shared" ca="1" si="51"/>
        <v/>
      </c>
      <c r="AE80" s="333" t="str">
        <f t="shared" ca="1" si="52"/>
        <v/>
      </c>
      <c r="AG80" s="333">
        <f ca="1">IF(TYPE(VLOOKUP($A80,'1.kolo'!$L$3:$L$66,1,0))&gt;3,VLOOKUP($A80,'1.kolo'!$K$3:$L$66,2,0),VLOOKUP($A80,'1.kolo'!$L$3:$O$66,4,0))</f>
        <v>51</v>
      </c>
      <c r="AH80" s="333">
        <f ca="1">IF(TYPE(VLOOKUP($A80,'1.kolo'!$L$3:$L$66,1,0))&gt;3,VLOOKUP($A80,'1.kolo'!$O$3:$Q$66,2,0),VLOOKUP($A80,'1.kolo'!$L$3:$N$66,2,0))</f>
        <v>0</v>
      </c>
      <c r="AI80" s="333">
        <f ca="1">IF(TYPE(VLOOKUP($A80,'1.kolo'!$L$3:$L$66,1,0))&gt;3,VLOOKUP($A80,'1.kolo'!$O$3:$Q$66,3,0),VLOOKUP($A80,'1.kolo'!$L$3:$N$66,3,0))</f>
        <v>0</v>
      </c>
      <c r="AJ80" s="333">
        <f t="shared" ca="1" si="53"/>
        <v>0</v>
      </c>
      <c r="AK80" s="333">
        <v>78</v>
      </c>
      <c r="AL80" s="442"/>
      <c r="AP80" s="333" t="str">
        <f ca="1">IF(TYPE(VLOOKUP($A80,'2.kolo'!$L$3:$L$66,1,0))&gt;3,IF(TYPE(VLOOKUP($A80,'2.kolo'!$K$3:$L$66,2,0))&gt;3,0,VLOOKUP($A80,'2.kolo'!$K$3:$L$66,2,0)),VLOOKUP($A80,'2.kolo'!$L$3:$O$66,4,0))</f>
        <v/>
      </c>
      <c r="AQ80" s="333">
        <f ca="1">IF(TYPE(VLOOKUP($A80,'2.kolo'!$L$3:$L$66,1,0))&gt;3,IF(TYPE(VLOOKUP($A80,'2.kolo'!$O$3:$Q$66,2,0))&gt;3,0,VLOOKUP($A80,'2.kolo'!$O$3:$Q$66,2,0)),VLOOKUP($A80,'2.kolo'!$L$3:$N$66,2,0))</f>
        <v>0</v>
      </c>
      <c r="AR80" s="333">
        <f ca="1">IF(TYPE(VLOOKUP($A80,'2.kolo'!$L$3:$L$66,1,0))&gt;3,IF(TYPE(VLOOKUP($A80,'2.kolo'!$O$3:$Q$66,3,0))&gt;3,0,VLOOKUP($A80,'2.kolo'!$O$3:$Q$66,3,0)),VLOOKUP($A80,'2.kolo'!$L$3:$N$66,3,0))</f>
        <v>0</v>
      </c>
      <c r="AS80" s="333">
        <f t="shared" ca="1" si="54"/>
        <v>0</v>
      </c>
      <c r="AT80" s="415" t="s">
        <v>2005</v>
      </c>
      <c r="AU80" s="442" t="str">
        <f ca="1">IF(AT80="","",CONCATENATE(TEXT($O80,"0"),IF(Start.listina!$Y$5="","",TEXT(500+$P80,"000")),TEXT(999999*RAND(),"000000")))</f>
        <v/>
      </c>
      <c r="AV80" s="333">
        <f t="shared" ca="1" si="37"/>
        <v>0</v>
      </c>
      <c r="AY80" s="333" t="str">
        <f ca="1">IF(TYPE(VLOOKUP($A80,'3.kolo'!$L$3:$L$66,1,0))&gt;3,IF(TYPE(VLOOKUP($A80,'3.kolo'!$K$3:$L$66,2,0))&gt;3,0,VLOOKUP($A80,'3.kolo'!$K$3:$L$66,2,0)),VLOOKUP($A80,'3.kolo'!$L$3:$O$66,4,0))</f>
        <v/>
      </c>
      <c r="AZ80" s="333">
        <f ca="1">IF(TYPE(VLOOKUP($A80,'3.kolo'!$L$3:$L$66,1,0))&gt;3,IF(TYPE(VLOOKUP($A80,'3.kolo'!$O$3:$Q$66,2,0))&gt;3,0,VLOOKUP($A80,'3.kolo'!$O$3:$Q$66,2,0)),VLOOKUP($A80,'3.kolo'!$L$3:$N$66,2,0))</f>
        <v>0</v>
      </c>
      <c r="BA80" s="333">
        <f ca="1">IF(TYPE(VLOOKUP($A80,'3.kolo'!$L$3:$L$66,1,0))&gt;3,IF(TYPE(VLOOKUP($A80,'3.kolo'!$O$3:$Q$66,3,0))&gt;3,0,VLOOKUP($A80,'3.kolo'!$O$3:$Q$66,3,0)),VLOOKUP($A80,'3.kolo'!$L$3:$N$66,3,0))</f>
        <v>0</v>
      </c>
      <c r="BB80" s="333">
        <f t="shared" ca="1" si="55"/>
        <v>0</v>
      </c>
      <c r="BC80" s="415" t="s">
        <v>2005</v>
      </c>
      <c r="BD80" s="442" t="str">
        <f ca="1">IF(BC80="","",CONCATENATE(TEXT($O80,"0"),IF(Start.listina!$Y$5="","",TEXT(500+$P80,"000")),TEXT(999999*RAND(),"000000")))</f>
        <v/>
      </c>
      <c r="BE80" s="333">
        <f t="shared" ca="1" si="38"/>
        <v>0</v>
      </c>
      <c r="BH80" s="333" t="str">
        <f ca="1">IF(TYPE(VLOOKUP($A80,'4.kolo'!$L$3:$L$66,1,0))&gt;3,IF(TYPE(VLOOKUP($A80,'4.kolo'!$K$3:$L$66,2,0))&gt;3,0,VLOOKUP($A80,'4.kolo'!$K$3:$L$66,2,0)),VLOOKUP($A80,'4.kolo'!$L$3:$O$66,4,0))</f>
        <v/>
      </c>
      <c r="BI80" s="333">
        <f ca="1">IF(TYPE(VLOOKUP($A80,'4.kolo'!$L$3:$L$66,1,0))&gt;3,IF(TYPE(VLOOKUP($A80,'4.kolo'!$O$3:$Q$66,2,0))&gt;3,0,VLOOKUP($A80,'4.kolo'!$O$3:$Q$66,2,0)),VLOOKUP($A80,'4.kolo'!$L$3:$N$66,2,0))</f>
        <v>0</v>
      </c>
      <c r="BJ80" s="333">
        <f ca="1">IF(TYPE(VLOOKUP($A80,'4.kolo'!$L$3:$L$66,1,0))&gt;3,IF(TYPE(VLOOKUP($A80,'4.kolo'!$O$3:$Q$66,3,0))&gt;3,0,VLOOKUP($A80,'4.kolo'!$O$3:$Q$66,3,0)),VLOOKUP($A80,'4.kolo'!$L$3:$N$66,3,0))</f>
        <v>0</v>
      </c>
      <c r="BK80" s="333">
        <f t="shared" ca="1" si="56"/>
        <v>0</v>
      </c>
      <c r="BL80" s="415" t="s">
        <v>2005</v>
      </c>
      <c r="BM80" s="442" t="str">
        <f ca="1">IF(BL80="","",CONCATENATE(TEXT($O80,"0"),IF(Start.listina!$Y$5="","",TEXT(500+$P80,"000")),TEXT(999999*RAND(),"000000")))</f>
        <v/>
      </c>
      <c r="BN80" s="333">
        <f t="shared" ca="1" si="39"/>
        <v>0</v>
      </c>
      <c r="BQ80" s="333" t="str">
        <f ca="1">IF(TYPE(VLOOKUP($A80,'5.kolo'!$L$3:$L$66,1,0))&gt;3,IF(TYPE(VLOOKUP($A80,'5.kolo'!$K$3:$L$66,2,0))&gt;3,0,VLOOKUP($A80,'5.kolo'!$K$3:$L$66,2,0)),VLOOKUP($A80,'5.kolo'!$L$3:$O$66,4,0))</f>
        <v/>
      </c>
      <c r="BR80" s="333">
        <f ca="1">IF(TYPE(VLOOKUP($A80,'5.kolo'!$L$3:$L$66,1,0))&gt;3,IF(TYPE(VLOOKUP($A80,'5.kolo'!$O$3:$Q$66,2,0))&gt;3,0,VLOOKUP($A80,'5.kolo'!$O$3:$Q$66,2,0)),VLOOKUP($A80,'5.kolo'!$L$3:$N$66,2,0))</f>
        <v>0</v>
      </c>
      <c r="BS80" s="333">
        <f ca="1">IF(TYPE(VLOOKUP($A80,'5.kolo'!$L$3:$L$66,1,0))&gt;3,IF(TYPE(VLOOKUP($A80,'5.kolo'!$O$3:$Q$66,3,0))&gt;3,0,VLOOKUP($A80,'5.kolo'!$O$3:$Q$66,3,0)),VLOOKUP($A80,'5.kolo'!$L$3:$N$66,3,0))</f>
        <v>0</v>
      </c>
      <c r="BT80" s="333">
        <f t="shared" ca="1" si="57"/>
        <v>0</v>
      </c>
      <c r="BU80" s="415"/>
      <c r="BV80" s="442" t="str">
        <f ca="1">IF(BU80="","",CONCATENATE(TEXT($O80,"0"),IF(Start.listina!$Y$5="","",TEXT(500+$P80,"000")),TEXT(999999*RAND(),"000000")))</f>
        <v/>
      </c>
      <c r="BW80" s="333">
        <f t="shared" ca="1" si="40"/>
        <v>0</v>
      </c>
      <c r="BZ80" s="333" t="str">
        <f ca="1">IF(TYPE(VLOOKUP($A80,'6.kolo'!$L$3:$L$66,1,0))&gt;3,IF(TYPE(VLOOKUP($A80,'6.kolo'!$K$3:$L$66,2,0))&gt;3,0,VLOOKUP($A80,'6.kolo'!$K$3:$L$66,2,0)),VLOOKUP($A80,'6.kolo'!$L$3:$O$66,4,0))</f>
        <v/>
      </c>
      <c r="CA80" s="333">
        <f ca="1">IF(TYPE(VLOOKUP($A80,'6.kolo'!$L$3:$L$66,1,0))&gt;3,IF(TYPE(VLOOKUP($A80,'6.kolo'!$O$3:$Q$66,2,0))&gt;3,0,VLOOKUP($A80,'6.kolo'!$O$3:$Q$66,2,0)),VLOOKUP($A80,'6.kolo'!$L$3:$N$66,2,0))</f>
        <v>0</v>
      </c>
      <c r="CB80" s="333">
        <f ca="1">IF(TYPE(VLOOKUP($A80,'6.kolo'!$L$3:$L$66,1,0))&gt;3,IF(TYPE(VLOOKUP($A80,'6.kolo'!$O$3:$Q$66,3,0))&gt;3,0,VLOOKUP($A80,'6.kolo'!$O$3:$Q$66,3,0)),VLOOKUP($A80,'6.kolo'!$L$3:$N$66,3,0))</f>
        <v>0</v>
      </c>
      <c r="CC80" s="333">
        <f t="shared" ca="1" si="58"/>
        <v>0</v>
      </c>
      <c r="CD80" s="415"/>
      <c r="CE80" s="442" t="str">
        <f ca="1">IF(CD80="","",CONCATENATE(TEXT($O80,"0"),IF(Start.listina!$Y$5="","",TEXT(500+$P80,"000")),TEXT(999999*RAND(),"000000")))</f>
        <v/>
      </c>
      <c r="CF80" s="333">
        <f t="shared" ca="1" si="41"/>
        <v>0</v>
      </c>
    </row>
    <row r="81" spans="1:84" x14ac:dyDescent="0.25">
      <c r="A81" s="333" t="str">
        <f>IF(OR(Start.listina!H89&gt;Start.listina!$K$7,Start.listina!G89=TRUE),"",Start.listina!H89)</f>
        <v/>
      </c>
      <c r="B81" s="333" t="str">
        <f>IF($A81&gt;Start.listina!$K$7,"",INT(($A81-1)/Start.listina!$O$7)+1)</f>
        <v/>
      </c>
      <c r="C81" s="439" t="str">
        <f>IF(OR(Start.listina!H89&gt;Start.listina!$K$7,Start.listina!G89=TRUE)," - ",Start.listina!AL89)</f>
        <v xml:space="preserve"> - </v>
      </c>
      <c r="D81" s="333" t="str">
        <f>IF(OR(A81&gt;Start.listina!$K$7,TYPE(VLOOKUP(A81,$V$3:$X$130,3,0))&gt;3),"",VLOOKUP(A81,$V$3:$X$130,3,0))</f>
        <v/>
      </c>
      <c r="E81" s="440" t="str">
        <f>IF(A81&gt;Start.listina!$K$7,"",IF(MIN(F81:K81)&gt;Start.listina!$Y$4,D81,MIN(F81:K81)))</f>
        <v/>
      </c>
      <c r="F81" s="333">
        <f ca="1">IF(TYPE(VLOOKUP(C81,Konečné_pořadí_1_16!$B$2:$D$17,3,0))&lt;4,VLOOKUP(C81,Konečné_pořadí_1_16!$B$2:$D$17,3,0),999)</f>
        <v>999</v>
      </c>
      <c r="G81" s="333">
        <f ca="1">IF(TYPE(VLOOKUP(C81,'KO64'!$D$4:$D$129,1,0))&lt;4,64,999)</f>
        <v>64</v>
      </c>
      <c r="H81" s="333">
        <f ca="1">IF(TYPE(VLOOKUP(C81,'KO32'!$D$4:$D$65,1,0))&lt;4,32,999)</f>
        <v>32</v>
      </c>
      <c r="I81" s="333">
        <f ca="1">IF(TYPE(VLOOKUP(C81,'KO16'!$D$4:$D$33,1,0))&lt;4,16,999)</f>
        <v>999</v>
      </c>
      <c r="J81" s="333">
        <f ca="1">IF(TYPE(VLOOKUP(C81,'KO8'!$D$4:$D$17,1,0))&lt;4,8,999)</f>
        <v>999</v>
      </c>
      <c r="K81" s="333">
        <f ca="1">IF(TYPE(VLOOKUP(C81,'KO4'!$D$4:$D$9,1,0))&lt;4,4,999)</f>
        <v>999</v>
      </c>
      <c r="M81" s="334">
        <v>79</v>
      </c>
      <c r="O81" s="333">
        <f t="shared" ca="1" si="42"/>
        <v>0</v>
      </c>
      <c r="P81" s="333">
        <f t="shared" ca="1" si="43"/>
        <v>0</v>
      </c>
      <c r="Q81" s="333">
        <f t="shared" ca="1" si="34"/>
        <v>2</v>
      </c>
      <c r="R81" s="333">
        <f t="shared" ca="1" si="35"/>
        <v>0</v>
      </c>
      <c r="S81" s="333">
        <f t="shared" ca="1" si="44"/>
        <v>16</v>
      </c>
      <c r="T81" s="333">
        <f t="shared" ca="1" si="45"/>
        <v>0</v>
      </c>
      <c r="U81" s="415">
        <f t="shared" si="59"/>
        <v>79</v>
      </c>
      <c r="V81" s="415" t="s">
        <v>2005</v>
      </c>
      <c r="W81" s="441" t="str">
        <f ca="1">IF($V81="","",CONCATENATE(TEXT($O81,"0"),IF(Start.listina!$Y$5="","",TEXT(500+$P81,"0000")),IF(Start.listina!$Y$6="","",CHOOSE(Start.listina!$Y$7,TEXT($Q81,"00"),CONCATENATE(TEXT($Q81,"00"),TEXT($S81,"000")), TEXT($R81,"00"))),TEXT(500+$P81,"0000"),IF(Start.listina!$Y$8="","",TEXT($T81,"0")),TEXT(999999*RAND(),"000000")))</f>
        <v/>
      </c>
      <c r="X81" s="417">
        <f t="shared" si="46"/>
        <v>79</v>
      </c>
      <c r="Y81" s="415">
        <f t="shared" ca="1" si="36"/>
        <v>0</v>
      </c>
      <c r="Z81" s="333">
        <f t="shared" ca="1" si="47"/>
        <v>51</v>
      </c>
      <c r="AA81" s="333" t="str">
        <f t="shared" ca="1" si="48"/>
        <v/>
      </c>
      <c r="AB81" s="333" t="str">
        <f t="shared" ca="1" si="49"/>
        <v/>
      </c>
      <c r="AC81" s="333" t="str">
        <f t="shared" ca="1" si="50"/>
        <v/>
      </c>
      <c r="AD81" s="333" t="str">
        <f t="shared" ca="1" si="51"/>
        <v/>
      </c>
      <c r="AE81" s="333" t="str">
        <f t="shared" ca="1" si="52"/>
        <v/>
      </c>
      <c r="AG81" s="333">
        <f ca="1">IF(TYPE(VLOOKUP($A81,'1.kolo'!$L$3:$L$66,1,0))&gt;3,VLOOKUP($A81,'1.kolo'!$K$3:$L$66,2,0),VLOOKUP($A81,'1.kolo'!$L$3:$O$66,4,0))</f>
        <v>51</v>
      </c>
      <c r="AH81" s="333">
        <f ca="1">IF(TYPE(VLOOKUP($A81,'1.kolo'!$L$3:$L$66,1,0))&gt;3,VLOOKUP($A81,'1.kolo'!$O$3:$Q$66,2,0),VLOOKUP($A81,'1.kolo'!$L$3:$N$66,2,0))</f>
        <v>0</v>
      </c>
      <c r="AI81" s="333">
        <f ca="1">IF(TYPE(VLOOKUP($A81,'1.kolo'!$L$3:$L$66,1,0))&gt;3,VLOOKUP($A81,'1.kolo'!$O$3:$Q$66,3,0),VLOOKUP($A81,'1.kolo'!$L$3:$N$66,3,0))</f>
        <v>0</v>
      </c>
      <c r="AJ81" s="333">
        <f t="shared" ca="1" si="53"/>
        <v>0</v>
      </c>
      <c r="AK81" s="333">
        <v>79</v>
      </c>
      <c r="AL81" s="442"/>
      <c r="AP81" s="333" t="str">
        <f ca="1">IF(TYPE(VLOOKUP($A81,'2.kolo'!$L$3:$L$66,1,0))&gt;3,IF(TYPE(VLOOKUP($A81,'2.kolo'!$K$3:$L$66,2,0))&gt;3,0,VLOOKUP($A81,'2.kolo'!$K$3:$L$66,2,0)),VLOOKUP($A81,'2.kolo'!$L$3:$O$66,4,0))</f>
        <v/>
      </c>
      <c r="AQ81" s="333">
        <f ca="1">IF(TYPE(VLOOKUP($A81,'2.kolo'!$L$3:$L$66,1,0))&gt;3,IF(TYPE(VLOOKUP($A81,'2.kolo'!$O$3:$Q$66,2,0))&gt;3,0,VLOOKUP($A81,'2.kolo'!$O$3:$Q$66,2,0)),VLOOKUP($A81,'2.kolo'!$L$3:$N$66,2,0))</f>
        <v>0</v>
      </c>
      <c r="AR81" s="333">
        <f ca="1">IF(TYPE(VLOOKUP($A81,'2.kolo'!$L$3:$L$66,1,0))&gt;3,IF(TYPE(VLOOKUP($A81,'2.kolo'!$O$3:$Q$66,3,0))&gt;3,0,VLOOKUP($A81,'2.kolo'!$O$3:$Q$66,3,0)),VLOOKUP($A81,'2.kolo'!$L$3:$N$66,3,0))</f>
        <v>0</v>
      </c>
      <c r="AS81" s="333">
        <f t="shared" ca="1" si="54"/>
        <v>0</v>
      </c>
      <c r="AT81" s="415" t="s">
        <v>2005</v>
      </c>
      <c r="AU81" s="442" t="str">
        <f ca="1">IF(AT81="","",CONCATENATE(TEXT($O81,"0"),IF(Start.listina!$Y$5="","",TEXT(500+$P81,"000")),TEXT(999999*RAND(),"000000")))</f>
        <v/>
      </c>
      <c r="AV81" s="333">
        <f t="shared" ca="1" si="37"/>
        <v>0</v>
      </c>
      <c r="AY81" s="333" t="str">
        <f ca="1">IF(TYPE(VLOOKUP($A81,'3.kolo'!$L$3:$L$66,1,0))&gt;3,IF(TYPE(VLOOKUP($A81,'3.kolo'!$K$3:$L$66,2,0))&gt;3,0,VLOOKUP($A81,'3.kolo'!$K$3:$L$66,2,0)),VLOOKUP($A81,'3.kolo'!$L$3:$O$66,4,0))</f>
        <v/>
      </c>
      <c r="AZ81" s="333">
        <f ca="1">IF(TYPE(VLOOKUP($A81,'3.kolo'!$L$3:$L$66,1,0))&gt;3,IF(TYPE(VLOOKUP($A81,'3.kolo'!$O$3:$Q$66,2,0))&gt;3,0,VLOOKUP($A81,'3.kolo'!$O$3:$Q$66,2,0)),VLOOKUP($A81,'3.kolo'!$L$3:$N$66,2,0))</f>
        <v>0</v>
      </c>
      <c r="BA81" s="333">
        <f ca="1">IF(TYPE(VLOOKUP($A81,'3.kolo'!$L$3:$L$66,1,0))&gt;3,IF(TYPE(VLOOKUP($A81,'3.kolo'!$O$3:$Q$66,3,0))&gt;3,0,VLOOKUP($A81,'3.kolo'!$O$3:$Q$66,3,0)),VLOOKUP($A81,'3.kolo'!$L$3:$N$66,3,0))</f>
        <v>0</v>
      </c>
      <c r="BB81" s="333">
        <f t="shared" ca="1" si="55"/>
        <v>0</v>
      </c>
      <c r="BC81" s="415" t="s">
        <v>2005</v>
      </c>
      <c r="BD81" s="442" t="str">
        <f ca="1">IF(BC81="","",CONCATENATE(TEXT($O81,"0"),IF(Start.listina!$Y$5="","",TEXT(500+$P81,"000")),TEXT(999999*RAND(),"000000")))</f>
        <v/>
      </c>
      <c r="BE81" s="333">
        <f t="shared" ca="1" si="38"/>
        <v>0</v>
      </c>
      <c r="BH81" s="333" t="str">
        <f ca="1">IF(TYPE(VLOOKUP($A81,'4.kolo'!$L$3:$L$66,1,0))&gt;3,IF(TYPE(VLOOKUP($A81,'4.kolo'!$K$3:$L$66,2,0))&gt;3,0,VLOOKUP($A81,'4.kolo'!$K$3:$L$66,2,0)),VLOOKUP($A81,'4.kolo'!$L$3:$O$66,4,0))</f>
        <v/>
      </c>
      <c r="BI81" s="333">
        <f ca="1">IF(TYPE(VLOOKUP($A81,'4.kolo'!$L$3:$L$66,1,0))&gt;3,IF(TYPE(VLOOKUP($A81,'4.kolo'!$O$3:$Q$66,2,0))&gt;3,0,VLOOKUP($A81,'4.kolo'!$O$3:$Q$66,2,0)),VLOOKUP($A81,'4.kolo'!$L$3:$N$66,2,0))</f>
        <v>0</v>
      </c>
      <c r="BJ81" s="333">
        <f ca="1">IF(TYPE(VLOOKUP($A81,'4.kolo'!$L$3:$L$66,1,0))&gt;3,IF(TYPE(VLOOKUP($A81,'4.kolo'!$O$3:$Q$66,3,0))&gt;3,0,VLOOKUP($A81,'4.kolo'!$O$3:$Q$66,3,0)),VLOOKUP($A81,'4.kolo'!$L$3:$N$66,3,0))</f>
        <v>0</v>
      </c>
      <c r="BK81" s="333">
        <f t="shared" ca="1" si="56"/>
        <v>0</v>
      </c>
      <c r="BL81" s="415" t="s">
        <v>2005</v>
      </c>
      <c r="BM81" s="442" t="str">
        <f ca="1">IF(BL81="","",CONCATENATE(TEXT($O81,"0"),IF(Start.listina!$Y$5="","",TEXT(500+$P81,"000")),TEXT(999999*RAND(),"000000")))</f>
        <v/>
      </c>
      <c r="BN81" s="333">
        <f t="shared" ca="1" si="39"/>
        <v>0</v>
      </c>
      <c r="BQ81" s="333" t="str">
        <f ca="1">IF(TYPE(VLOOKUP($A81,'5.kolo'!$L$3:$L$66,1,0))&gt;3,IF(TYPE(VLOOKUP($A81,'5.kolo'!$K$3:$L$66,2,0))&gt;3,0,VLOOKUP($A81,'5.kolo'!$K$3:$L$66,2,0)),VLOOKUP($A81,'5.kolo'!$L$3:$O$66,4,0))</f>
        <v/>
      </c>
      <c r="BR81" s="333">
        <f ca="1">IF(TYPE(VLOOKUP($A81,'5.kolo'!$L$3:$L$66,1,0))&gt;3,IF(TYPE(VLOOKUP($A81,'5.kolo'!$O$3:$Q$66,2,0))&gt;3,0,VLOOKUP($A81,'5.kolo'!$O$3:$Q$66,2,0)),VLOOKUP($A81,'5.kolo'!$L$3:$N$66,2,0))</f>
        <v>0</v>
      </c>
      <c r="BS81" s="333">
        <f ca="1">IF(TYPE(VLOOKUP($A81,'5.kolo'!$L$3:$L$66,1,0))&gt;3,IF(TYPE(VLOOKUP($A81,'5.kolo'!$O$3:$Q$66,3,0))&gt;3,0,VLOOKUP($A81,'5.kolo'!$O$3:$Q$66,3,0)),VLOOKUP($A81,'5.kolo'!$L$3:$N$66,3,0))</f>
        <v>0</v>
      </c>
      <c r="BT81" s="333">
        <f t="shared" ca="1" si="57"/>
        <v>0</v>
      </c>
      <c r="BU81" s="415"/>
      <c r="BV81" s="442" t="str">
        <f ca="1">IF(BU81="","",CONCATENATE(TEXT($O81,"0"),IF(Start.listina!$Y$5="","",TEXT(500+$P81,"000")),TEXT(999999*RAND(),"000000")))</f>
        <v/>
      </c>
      <c r="BW81" s="333">
        <f t="shared" ca="1" si="40"/>
        <v>0</v>
      </c>
      <c r="BZ81" s="333" t="str">
        <f ca="1">IF(TYPE(VLOOKUP($A81,'6.kolo'!$L$3:$L$66,1,0))&gt;3,IF(TYPE(VLOOKUP($A81,'6.kolo'!$K$3:$L$66,2,0))&gt;3,0,VLOOKUP($A81,'6.kolo'!$K$3:$L$66,2,0)),VLOOKUP($A81,'6.kolo'!$L$3:$O$66,4,0))</f>
        <v/>
      </c>
      <c r="CA81" s="333">
        <f ca="1">IF(TYPE(VLOOKUP($A81,'6.kolo'!$L$3:$L$66,1,0))&gt;3,IF(TYPE(VLOOKUP($A81,'6.kolo'!$O$3:$Q$66,2,0))&gt;3,0,VLOOKUP($A81,'6.kolo'!$O$3:$Q$66,2,0)),VLOOKUP($A81,'6.kolo'!$L$3:$N$66,2,0))</f>
        <v>0</v>
      </c>
      <c r="CB81" s="333">
        <f ca="1">IF(TYPE(VLOOKUP($A81,'6.kolo'!$L$3:$L$66,1,0))&gt;3,IF(TYPE(VLOOKUP($A81,'6.kolo'!$O$3:$Q$66,3,0))&gt;3,0,VLOOKUP($A81,'6.kolo'!$O$3:$Q$66,3,0)),VLOOKUP($A81,'6.kolo'!$L$3:$N$66,3,0))</f>
        <v>0</v>
      </c>
      <c r="CC81" s="333">
        <f t="shared" ca="1" si="58"/>
        <v>0</v>
      </c>
      <c r="CD81" s="415"/>
      <c r="CE81" s="442" t="str">
        <f ca="1">IF(CD81="","",CONCATENATE(TEXT($O81,"0"),IF(Start.listina!$Y$5="","",TEXT(500+$P81,"000")),TEXT(999999*RAND(),"000000")))</f>
        <v/>
      </c>
      <c r="CF81" s="333">
        <f t="shared" ca="1" si="41"/>
        <v>0</v>
      </c>
    </row>
    <row r="82" spans="1:84" x14ac:dyDescent="0.25">
      <c r="A82" s="333" t="str">
        <f>IF(OR(Start.listina!H90&gt;Start.listina!$K$7,Start.listina!G90=TRUE),"",Start.listina!H90)</f>
        <v/>
      </c>
      <c r="B82" s="333" t="str">
        <f>IF($A82&gt;Start.listina!$K$7,"",INT(($A82-1)/Start.listina!$O$7)+1)</f>
        <v/>
      </c>
      <c r="C82" s="439" t="str">
        <f>IF(OR(Start.listina!H90&gt;Start.listina!$K$7,Start.listina!G90=TRUE)," - ",Start.listina!AL90)</f>
        <v xml:space="preserve"> - </v>
      </c>
      <c r="D82" s="333" t="str">
        <f>IF(OR(A82&gt;Start.listina!$K$7,TYPE(VLOOKUP(A82,$V$3:$X$130,3,0))&gt;3),"",VLOOKUP(A82,$V$3:$X$130,3,0))</f>
        <v/>
      </c>
      <c r="E82" s="440" t="str">
        <f>IF(A82&gt;Start.listina!$K$7,"",IF(MIN(F82:K82)&gt;Start.listina!$Y$4,D82,MIN(F82:K82)))</f>
        <v/>
      </c>
      <c r="F82" s="333">
        <f ca="1">IF(TYPE(VLOOKUP(C82,Konečné_pořadí_1_16!$B$2:$D$17,3,0))&lt;4,VLOOKUP(C82,Konečné_pořadí_1_16!$B$2:$D$17,3,0),999)</f>
        <v>999</v>
      </c>
      <c r="G82" s="333">
        <f ca="1">IF(TYPE(VLOOKUP(C82,'KO64'!$D$4:$D$129,1,0))&lt;4,64,999)</f>
        <v>64</v>
      </c>
      <c r="H82" s="333">
        <f ca="1">IF(TYPE(VLOOKUP(C82,'KO32'!$D$4:$D$65,1,0))&lt;4,32,999)</f>
        <v>32</v>
      </c>
      <c r="I82" s="333">
        <f ca="1">IF(TYPE(VLOOKUP(C82,'KO16'!$D$4:$D$33,1,0))&lt;4,16,999)</f>
        <v>999</v>
      </c>
      <c r="J82" s="333">
        <f ca="1">IF(TYPE(VLOOKUP(C82,'KO8'!$D$4:$D$17,1,0))&lt;4,8,999)</f>
        <v>999</v>
      </c>
      <c r="K82" s="333">
        <f ca="1">IF(TYPE(VLOOKUP(C82,'KO4'!$D$4:$D$9,1,0))&lt;4,4,999)</f>
        <v>999</v>
      </c>
      <c r="M82" s="334">
        <v>80</v>
      </c>
      <c r="O82" s="333">
        <f t="shared" ca="1" si="42"/>
        <v>0</v>
      </c>
      <c r="P82" s="333">
        <f t="shared" ca="1" si="43"/>
        <v>0</v>
      </c>
      <c r="Q82" s="333">
        <f t="shared" ca="1" si="34"/>
        <v>2</v>
      </c>
      <c r="R82" s="333">
        <f t="shared" ca="1" si="35"/>
        <v>0</v>
      </c>
      <c r="S82" s="333">
        <f t="shared" ca="1" si="44"/>
        <v>16</v>
      </c>
      <c r="T82" s="333">
        <f t="shared" ca="1" si="45"/>
        <v>0</v>
      </c>
      <c r="U82" s="415">
        <f t="shared" si="59"/>
        <v>80</v>
      </c>
      <c r="V82" s="415" t="s">
        <v>2005</v>
      </c>
      <c r="W82" s="441" t="str">
        <f ca="1">IF($V82="","",CONCATENATE(TEXT($O82,"0"),IF(Start.listina!$Y$5="","",TEXT(500+$P82,"0000")),IF(Start.listina!$Y$6="","",CHOOSE(Start.listina!$Y$7,TEXT($Q82,"00"),CONCATENATE(TEXT($Q82,"00"),TEXT($S82,"000")), TEXT($R82,"00"))),TEXT(500+$P82,"0000"),IF(Start.listina!$Y$8="","",TEXT($T82,"0")),TEXT(999999*RAND(),"000000")))</f>
        <v/>
      </c>
      <c r="X82" s="417">
        <f t="shared" si="46"/>
        <v>80</v>
      </c>
      <c r="Y82" s="415">
        <f t="shared" ca="1" si="36"/>
        <v>0</v>
      </c>
      <c r="Z82" s="333">
        <f t="shared" ca="1" si="47"/>
        <v>51</v>
      </c>
      <c r="AA82" s="333" t="str">
        <f t="shared" ca="1" si="48"/>
        <v/>
      </c>
      <c r="AB82" s="333" t="str">
        <f t="shared" ca="1" si="49"/>
        <v/>
      </c>
      <c r="AC82" s="333" t="str">
        <f t="shared" ca="1" si="50"/>
        <v/>
      </c>
      <c r="AD82" s="333" t="str">
        <f t="shared" ca="1" si="51"/>
        <v/>
      </c>
      <c r="AE82" s="333" t="str">
        <f t="shared" ca="1" si="52"/>
        <v/>
      </c>
      <c r="AG82" s="333">
        <f ca="1">IF(TYPE(VLOOKUP($A82,'1.kolo'!$L$3:$L$66,1,0))&gt;3,VLOOKUP($A82,'1.kolo'!$K$3:$L$66,2,0),VLOOKUP($A82,'1.kolo'!$L$3:$O$66,4,0))</f>
        <v>51</v>
      </c>
      <c r="AH82" s="333">
        <f ca="1">IF(TYPE(VLOOKUP($A82,'1.kolo'!$L$3:$L$66,1,0))&gt;3,VLOOKUP($A82,'1.kolo'!$O$3:$Q$66,2,0),VLOOKUP($A82,'1.kolo'!$L$3:$N$66,2,0))</f>
        <v>0</v>
      </c>
      <c r="AI82" s="333">
        <f ca="1">IF(TYPE(VLOOKUP($A82,'1.kolo'!$L$3:$L$66,1,0))&gt;3,VLOOKUP($A82,'1.kolo'!$O$3:$Q$66,3,0),VLOOKUP($A82,'1.kolo'!$L$3:$N$66,3,0))</f>
        <v>0</v>
      </c>
      <c r="AJ82" s="333">
        <f t="shared" ca="1" si="53"/>
        <v>0</v>
      </c>
      <c r="AK82" s="333">
        <v>80</v>
      </c>
      <c r="AL82" s="442"/>
      <c r="AP82" s="333" t="str">
        <f ca="1">IF(TYPE(VLOOKUP($A82,'2.kolo'!$L$3:$L$66,1,0))&gt;3,IF(TYPE(VLOOKUP($A82,'2.kolo'!$K$3:$L$66,2,0))&gt;3,0,VLOOKUP($A82,'2.kolo'!$K$3:$L$66,2,0)),VLOOKUP($A82,'2.kolo'!$L$3:$O$66,4,0))</f>
        <v/>
      </c>
      <c r="AQ82" s="333">
        <f ca="1">IF(TYPE(VLOOKUP($A82,'2.kolo'!$L$3:$L$66,1,0))&gt;3,IF(TYPE(VLOOKUP($A82,'2.kolo'!$O$3:$Q$66,2,0))&gt;3,0,VLOOKUP($A82,'2.kolo'!$O$3:$Q$66,2,0)),VLOOKUP($A82,'2.kolo'!$L$3:$N$66,2,0))</f>
        <v>0</v>
      </c>
      <c r="AR82" s="333">
        <f ca="1">IF(TYPE(VLOOKUP($A82,'2.kolo'!$L$3:$L$66,1,0))&gt;3,IF(TYPE(VLOOKUP($A82,'2.kolo'!$O$3:$Q$66,3,0))&gt;3,0,VLOOKUP($A82,'2.kolo'!$O$3:$Q$66,3,0)),VLOOKUP($A82,'2.kolo'!$L$3:$N$66,3,0))</f>
        <v>0</v>
      </c>
      <c r="AS82" s="333">
        <f t="shared" ca="1" si="54"/>
        <v>0</v>
      </c>
      <c r="AT82" s="415" t="s">
        <v>2005</v>
      </c>
      <c r="AU82" s="442" t="str">
        <f ca="1">IF(AT82="","",CONCATENATE(TEXT($O82,"0"),IF(Start.listina!$Y$5="","",TEXT(500+$P82,"000")),TEXT(999999*RAND(),"000000")))</f>
        <v/>
      </c>
      <c r="AV82" s="333">
        <f t="shared" ca="1" si="37"/>
        <v>0</v>
      </c>
      <c r="AY82" s="333" t="str">
        <f ca="1">IF(TYPE(VLOOKUP($A82,'3.kolo'!$L$3:$L$66,1,0))&gt;3,IF(TYPE(VLOOKUP($A82,'3.kolo'!$K$3:$L$66,2,0))&gt;3,0,VLOOKUP($A82,'3.kolo'!$K$3:$L$66,2,0)),VLOOKUP($A82,'3.kolo'!$L$3:$O$66,4,0))</f>
        <v/>
      </c>
      <c r="AZ82" s="333">
        <f ca="1">IF(TYPE(VLOOKUP($A82,'3.kolo'!$L$3:$L$66,1,0))&gt;3,IF(TYPE(VLOOKUP($A82,'3.kolo'!$O$3:$Q$66,2,0))&gt;3,0,VLOOKUP($A82,'3.kolo'!$O$3:$Q$66,2,0)),VLOOKUP($A82,'3.kolo'!$L$3:$N$66,2,0))</f>
        <v>0</v>
      </c>
      <c r="BA82" s="333">
        <f ca="1">IF(TYPE(VLOOKUP($A82,'3.kolo'!$L$3:$L$66,1,0))&gt;3,IF(TYPE(VLOOKUP($A82,'3.kolo'!$O$3:$Q$66,3,0))&gt;3,0,VLOOKUP($A82,'3.kolo'!$O$3:$Q$66,3,0)),VLOOKUP($A82,'3.kolo'!$L$3:$N$66,3,0))</f>
        <v>0</v>
      </c>
      <c r="BB82" s="333">
        <f t="shared" ca="1" si="55"/>
        <v>0</v>
      </c>
      <c r="BC82" s="415" t="s">
        <v>2005</v>
      </c>
      <c r="BD82" s="442" t="str">
        <f ca="1">IF(BC82="","",CONCATENATE(TEXT($O82,"0"),IF(Start.listina!$Y$5="","",TEXT(500+$P82,"000")),TEXT(999999*RAND(),"000000")))</f>
        <v/>
      </c>
      <c r="BE82" s="333">
        <f t="shared" ca="1" si="38"/>
        <v>0</v>
      </c>
      <c r="BH82" s="333" t="str">
        <f ca="1">IF(TYPE(VLOOKUP($A82,'4.kolo'!$L$3:$L$66,1,0))&gt;3,IF(TYPE(VLOOKUP($A82,'4.kolo'!$K$3:$L$66,2,0))&gt;3,0,VLOOKUP($A82,'4.kolo'!$K$3:$L$66,2,0)),VLOOKUP($A82,'4.kolo'!$L$3:$O$66,4,0))</f>
        <v/>
      </c>
      <c r="BI82" s="333">
        <f ca="1">IF(TYPE(VLOOKUP($A82,'4.kolo'!$L$3:$L$66,1,0))&gt;3,IF(TYPE(VLOOKUP($A82,'4.kolo'!$O$3:$Q$66,2,0))&gt;3,0,VLOOKUP($A82,'4.kolo'!$O$3:$Q$66,2,0)),VLOOKUP($A82,'4.kolo'!$L$3:$N$66,2,0))</f>
        <v>0</v>
      </c>
      <c r="BJ82" s="333">
        <f ca="1">IF(TYPE(VLOOKUP($A82,'4.kolo'!$L$3:$L$66,1,0))&gt;3,IF(TYPE(VLOOKUP($A82,'4.kolo'!$O$3:$Q$66,3,0))&gt;3,0,VLOOKUP($A82,'4.kolo'!$O$3:$Q$66,3,0)),VLOOKUP($A82,'4.kolo'!$L$3:$N$66,3,0))</f>
        <v>0</v>
      </c>
      <c r="BK82" s="333">
        <f t="shared" ca="1" si="56"/>
        <v>0</v>
      </c>
      <c r="BL82" s="415" t="s">
        <v>2005</v>
      </c>
      <c r="BM82" s="442" t="str">
        <f ca="1">IF(BL82="","",CONCATENATE(TEXT($O82,"0"),IF(Start.listina!$Y$5="","",TEXT(500+$P82,"000")),TEXT(999999*RAND(),"000000")))</f>
        <v/>
      </c>
      <c r="BN82" s="333">
        <f t="shared" ca="1" si="39"/>
        <v>0</v>
      </c>
      <c r="BQ82" s="333" t="str">
        <f ca="1">IF(TYPE(VLOOKUP($A82,'5.kolo'!$L$3:$L$66,1,0))&gt;3,IF(TYPE(VLOOKUP($A82,'5.kolo'!$K$3:$L$66,2,0))&gt;3,0,VLOOKUP($A82,'5.kolo'!$K$3:$L$66,2,0)),VLOOKUP($A82,'5.kolo'!$L$3:$O$66,4,0))</f>
        <v/>
      </c>
      <c r="BR82" s="333">
        <f ca="1">IF(TYPE(VLOOKUP($A82,'5.kolo'!$L$3:$L$66,1,0))&gt;3,IF(TYPE(VLOOKUP($A82,'5.kolo'!$O$3:$Q$66,2,0))&gt;3,0,VLOOKUP($A82,'5.kolo'!$O$3:$Q$66,2,0)),VLOOKUP($A82,'5.kolo'!$L$3:$N$66,2,0))</f>
        <v>0</v>
      </c>
      <c r="BS82" s="333">
        <f ca="1">IF(TYPE(VLOOKUP($A82,'5.kolo'!$L$3:$L$66,1,0))&gt;3,IF(TYPE(VLOOKUP($A82,'5.kolo'!$O$3:$Q$66,3,0))&gt;3,0,VLOOKUP($A82,'5.kolo'!$O$3:$Q$66,3,0)),VLOOKUP($A82,'5.kolo'!$L$3:$N$66,3,0))</f>
        <v>0</v>
      </c>
      <c r="BT82" s="333">
        <f t="shared" ca="1" si="57"/>
        <v>0</v>
      </c>
      <c r="BU82" s="415"/>
      <c r="BV82" s="442" t="str">
        <f ca="1">IF(BU82="","",CONCATENATE(TEXT($O82,"0"),IF(Start.listina!$Y$5="","",TEXT(500+$P82,"000")),TEXT(999999*RAND(),"000000")))</f>
        <v/>
      </c>
      <c r="BW82" s="333">
        <f t="shared" ca="1" si="40"/>
        <v>0</v>
      </c>
      <c r="BZ82" s="333" t="str">
        <f ca="1">IF(TYPE(VLOOKUP($A82,'6.kolo'!$L$3:$L$66,1,0))&gt;3,IF(TYPE(VLOOKUP($A82,'6.kolo'!$K$3:$L$66,2,0))&gt;3,0,VLOOKUP($A82,'6.kolo'!$K$3:$L$66,2,0)),VLOOKUP($A82,'6.kolo'!$L$3:$O$66,4,0))</f>
        <v/>
      </c>
      <c r="CA82" s="333">
        <f ca="1">IF(TYPE(VLOOKUP($A82,'6.kolo'!$L$3:$L$66,1,0))&gt;3,IF(TYPE(VLOOKUP($A82,'6.kolo'!$O$3:$Q$66,2,0))&gt;3,0,VLOOKUP($A82,'6.kolo'!$O$3:$Q$66,2,0)),VLOOKUP($A82,'6.kolo'!$L$3:$N$66,2,0))</f>
        <v>0</v>
      </c>
      <c r="CB82" s="333">
        <f ca="1">IF(TYPE(VLOOKUP($A82,'6.kolo'!$L$3:$L$66,1,0))&gt;3,IF(TYPE(VLOOKUP($A82,'6.kolo'!$O$3:$Q$66,3,0))&gt;3,0,VLOOKUP($A82,'6.kolo'!$O$3:$Q$66,3,0)),VLOOKUP($A82,'6.kolo'!$L$3:$N$66,3,0))</f>
        <v>0</v>
      </c>
      <c r="CC82" s="333">
        <f t="shared" ca="1" si="58"/>
        <v>0</v>
      </c>
      <c r="CD82" s="415"/>
      <c r="CE82" s="442" t="str">
        <f ca="1">IF(CD82="","",CONCATENATE(TEXT($O82,"0"),IF(Start.listina!$Y$5="","",TEXT(500+$P82,"000")),TEXT(999999*RAND(),"000000")))</f>
        <v/>
      </c>
      <c r="CF82" s="333">
        <f t="shared" ca="1" si="41"/>
        <v>0</v>
      </c>
    </row>
    <row r="83" spans="1:84" x14ac:dyDescent="0.25">
      <c r="A83" s="333" t="str">
        <f>IF(OR(Start.listina!H91&gt;Start.listina!$K$7,Start.listina!G91=TRUE),"",Start.listina!H91)</f>
        <v/>
      </c>
      <c r="B83" s="333" t="str">
        <f>IF($A83&gt;Start.listina!$K$7,"",INT(($A83-1)/Start.listina!$O$7)+1)</f>
        <v/>
      </c>
      <c r="C83" s="439" t="str">
        <f>IF(OR(Start.listina!H91&gt;Start.listina!$K$7,Start.listina!G91=TRUE)," - ",Start.listina!AL91)</f>
        <v xml:space="preserve"> - </v>
      </c>
      <c r="D83" s="333" t="str">
        <f>IF(OR(A83&gt;Start.listina!$K$7,TYPE(VLOOKUP(A83,$V$3:$X$130,3,0))&gt;3),"",VLOOKUP(A83,$V$3:$X$130,3,0))</f>
        <v/>
      </c>
      <c r="E83" s="440" t="str">
        <f>IF(A83&gt;Start.listina!$K$7,"",IF(MIN(F83:K83)&gt;Start.listina!$Y$4,D83,MIN(F83:K83)))</f>
        <v/>
      </c>
      <c r="F83" s="333">
        <f ca="1">IF(TYPE(VLOOKUP(C83,Konečné_pořadí_1_16!$B$2:$D$17,3,0))&lt;4,VLOOKUP(C83,Konečné_pořadí_1_16!$B$2:$D$17,3,0),999)</f>
        <v>999</v>
      </c>
      <c r="G83" s="333">
        <f ca="1">IF(TYPE(VLOOKUP(C83,'KO64'!$D$4:$D$129,1,0))&lt;4,64,999)</f>
        <v>64</v>
      </c>
      <c r="H83" s="333">
        <f ca="1">IF(TYPE(VLOOKUP(C83,'KO32'!$D$4:$D$65,1,0))&lt;4,32,999)</f>
        <v>32</v>
      </c>
      <c r="I83" s="333">
        <f ca="1">IF(TYPE(VLOOKUP(C83,'KO16'!$D$4:$D$33,1,0))&lt;4,16,999)</f>
        <v>999</v>
      </c>
      <c r="J83" s="333">
        <f ca="1">IF(TYPE(VLOOKUP(C83,'KO8'!$D$4:$D$17,1,0))&lt;4,8,999)</f>
        <v>999</v>
      </c>
      <c r="K83" s="333">
        <f ca="1">IF(TYPE(VLOOKUP(C83,'KO4'!$D$4:$D$9,1,0))&lt;4,4,999)</f>
        <v>999</v>
      </c>
      <c r="M83" s="334">
        <v>81</v>
      </c>
      <c r="O83" s="333">
        <f t="shared" ca="1" si="42"/>
        <v>0</v>
      </c>
      <c r="P83" s="333">
        <f t="shared" ca="1" si="43"/>
        <v>0</v>
      </c>
      <c r="Q83" s="333">
        <f t="shared" ca="1" si="34"/>
        <v>2</v>
      </c>
      <c r="R83" s="333">
        <f t="shared" ca="1" si="35"/>
        <v>0</v>
      </c>
      <c r="S83" s="333">
        <f t="shared" ca="1" si="44"/>
        <v>16</v>
      </c>
      <c r="T83" s="333">
        <f t="shared" ca="1" si="45"/>
        <v>0</v>
      </c>
      <c r="U83" s="415">
        <f t="shared" si="59"/>
        <v>81</v>
      </c>
      <c r="V83" s="415" t="s">
        <v>2005</v>
      </c>
      <c r="W83" s="441" t="str">
        <f ca="1">IF($V83="","",CONCATENATE(TEXT($O83,"0"),IF(Start.listina!$Y$5="","",TEXT(500+$P83,"0000")),IF(Start.listina!$Y$6="","",CHOOSE(Start.listina!$Y$7,TEXT($Q83,"00"),CONCATENATE(TEXT($Q83,"00"),TEXT($S83,"000")), TEXT($R83,"00"))),TEXT(500+$P83,"0000"),IF(Start.listina!$Y$8="","",TEXT($T83,"0")),TEXT(999999*RAND(),"000000")))</f>
        <v/>
      </c>
      <c r="X83" s="417">
        <f t="shared" si="46"/>
        <v>81</v>
      </c>
      <c r="Y83" s="415">
        <f t="shared" ca="1" si="36"/>
        <v>0</v>
      </c>
      <c r="Z83" s="333">
        <f t="shared" ca="1" si="47"/>
        <v>51</v>
      </c>
      <c r="AA83" s="333" t="str">
        <f t="shared" ca="1" si="48"/>
        <v/>
      </c>
      <c r="AB83" s="333" t="str">
        <f t="shared" ca="1" si="49"/>
        <v/>
      </c>
      <c r="AC83" s="333" t="str">
        <f t="shared" ca="1" si="50"/>
        <v/>
      </c>
      <c r="AD83" s="333" t="str">
        <f t="shared" ca="1" si="51"/>
        <v/>
      </c>
      <c r="AE83" s="333" t="str">
        <f t="shared" ca="1" si="52"/>
        <v/>
      </c>
      <c r="AG83" s="333">
        <f ca="1">IF(TYPE(VLOOKUP($A83,'1.kolo'!$L$3:$L$66,1,0))&gt;3,VLOOKUP($A83,'1.kolo'!$K$3:$L$66,2,0),VLOOKUP($A83,'1.kolo'!$L$3:$O$66,4,0))</f>
        <v>51</v>
      </c>
      <c r="AH83" s="333">
        <f ca="1">IF(TYPE(VLOOKUP($A83,'1.kolo'!$L$3:$L$66,1,0))&gt;3,VLOOKUP($A83,'1.kolo'!$O$3:$Q$66,2,0),VLOOKUP($A83,'1.kolo'!$L$3:$N$66,2,0))</f>
        <v>0</v>
      </c>
      <c r="AI83" s="333">
        <f ca="1">IF(TYPE(VLOOKUP($A83,'1.kolo'!$L$3:$L$66,1,0))&gt;3,VLOOKUP($A83,'1.kolo'!$O$3:$Q$66,3,0),VLOOKUP($A83,'1.kolo'!$L$3:$N$66,3,0))</f>
        <v>0</v>
      </c>
      <c r="AJ83" s="333">
        <f t="shared" ca="1" si="53"/>
        <v>0</v>
      </c>
      <c r="AK83" s="333">
        <v>81</v>
      </c>
      <c r="AL83" s="442"/>
      <c r="AP83" s="333" t="str">
        <f ca="1">IF(TYPE(VLOOKUP($A83,'2.kolo'!$L$3:$L$66,1,0))&gt;3,IF(TYPE(VLOOKUP($A83,'2.kolo'!$K$3:$L$66,2,0))&gt;3,0,VLOOKUP($A83,'2.kolo'!$K$3:$L$66,2,0)),VLOOKUP($A83,'2.kolo'!$L$3:$O$66,4,0))</f>
        <v/>
      </c>
      <c r="AQ83" s="333">
        <f ca="1">IF(TYPE(VLOOKUP($A83,'2.kolo'!$L$3:$L$66,1,0))&gt;3,IF(TYPE(VLOOKUP($A83,'2.kolo'!$O$3:$Q$66,2,0))&gt;3,0,VLOOKUP($A83,'2.kolo'!$O$3:$Q$66,2,0)),VLOOKUP($A83,'2.kolo'!$L$3:$N$66,2,0))</f>
        <v>0</v>
      </c>
      <c r="AR83" s="333">
        <f ca="1">IF(TYPE(VLOOKUP($A83,'2.kolo'!$L$3:$L$66,1,0))&gt;3,IF(TYPE(VLOOKUP($A83,'2.kolo'!$O$3:$Q$66,3,0))&gt;3,0,VLOOKUP($A83,'2.kolo'!$O$3:$Q$66,3,0)),VLOOKUP($A83,'2.kolo'!$L$3:$N$66,3,0))</f>
        <v>0</v>
      </c>
      <c r="AS83" s="333">
        <f t="shared" ca="1" si="54"/>
        <v>0</v>
      </c>
      <c r="AT83" s="415" t="s">
        <v>2005</v>
      </c>
      <c r="AU83" s="442" t="str">
        <f ca="1">IF(AT83="","",CONCATENATE(TEXT($O83,"0"),IF(Start.listina!$Y$5="","",TEXT(500+$P83,"000")),TEXT(999999*RAND(),"000000")))</f>
        <v/>
      </c>
      <c r="AV83" s="333">
        <f t="shared" ca="1" si="37"/>
        <v>0</v>
      </c>
      <c r="AY83" s="333" t="str">
        <f ca="1">IF(TYPE(VLOOKUP($A83,'3.kolo'!$L$3:$L$66,1,0))&gt;3,IF(TYPE(VLOOKUP($A83,'3.kolo'!$K$3:$L$66,2,0))&gt;3,0,VLOOKUP($A83,'3.kolo'!$K$3:$L$66,2,0)),VLOOKUP($A83,'3.kolo'!$L$3:$O$66,4,0))</f>
        <v/>
      </c>
      <c r="AZ83" s="333">
        <f ca="1">IF(TYPE(VLOOKUP($A83,'3.kolo'!$L$3:$L$66,1,0))&gt;3,IF(TYPE(VLOOKUP($A83,'3.kolo'!$O$3:$Q$66,2,0))&gt;3,0,VLOOKUP($A83,'3.kolo'!$O$3:$Q$66,2,0)),VLOOKUP($A83,'3.kolo'!$L$3:$N$66,2,0))</f>
        <v>0</v>
      </c>
      <c r="BA83" s="333">
        <f ca="1">IF(TYPE(VLOOKUP($A83,'3.kolo'!$L$3:$L$66,1,0))&gt;3,IF(TYPE(VLOOKUP($A83,'3.kolo'!$O$3:$Q$66,3,0))&gt;3,0,VLOOKUP($A83,'3.kolo'!$O$3:$Q$66,3,0)),VLOOKUP($A83,'3.kolo'!$L$3:$N$66,3,0))</f>
        <v>0</v>
      </c>
      <c r="BB83" s="333">
        <f t="shared" ca="1" si="55"/>
        <v>0</v>
      </c>
      <c r="BC83" s="415" t="s">
        <v>2005</v>
      </c>
      <c r="BD83" s="442" t="str">
        <f ca="1">IF(BC83="","",CONCATENATE(TEXT($O83,"0"),IF(Start.listina!$Y$5="","",TEXT(500+$P83,"000")),TEXT(999999*RAND(),"000000")))</f>
        <v/>
      </c>
      <c r="BE83" s="333">
        <f t="shared" ca="1" si="38"/>
        <v>0</v>
      </c>
      <c r="BH83" s="333" t="str">
        <f ca="1">IF(TYPE(VLOOKUP($A83,'4.kolo'!$L$3:$L$66,1,0))&gt;3,IF(TYPE(VLOOKUP($A83,'4.kolo'!$K$3:$L$66,2,0))&gt;3,0,VLOOKUP($A83,'4.kolo'!$K$3:$L$66,2,0)),VLOOKUP($A83,'4.kolo'!$L$3:$O$66,4,0))</f>
        <v/>
      </c>
      <c r="BI83" s="333">
        <f ca="1">IF(TYPE(VLOOKUP($A83,'4.kolo'!$L$3:$L$66,1,0))&gt;3,IF(TYPE(VLOOKUP($A83,'4.kolo'!$O$3:$Q$66,2,0))&gt;3,0,VLOOKUP($A83,'4.kolo'!$O$3:$Q$66,2,0)),VLOOKUP($A83,'4.kolo'!$L$3:$N$66,2,0))</f>
        <v>0</v>
      </c>
      <c r="BJ83" s="333">
        <f ca="1">IF(TYPE(VLOOKUP($A83,'4.kolo'!$L$3:$L$66,1,0))&gt;3,IF(TYPE(VLOOKUP($A83,'4.kolo'!$O$3:$Q$66,3,0))&gt;3,0,VLOOKUP($A83,'4.kolo'!$O$3:$Q$66,3,0)),VLOOKUP($A83,'4.kolo'!$L$3:$N$66,3,0))</f>
        <v>0</v>
      </c>
      <c r="BK83" s="333">
        <f t="shared" ca="1" si="56"/>
        <v>0</v>
      </c>
      <c r="BL83" s="415" t="s">
        <v>2005</v>
      </c>
      <c r="BM83" s="442" t="str">
        <f ca="1">IF(BL83="","",CONCATENATE(TEXT($O83,"0"),IF(Start.listina!$Y$5="","",TEXT(500+$P83,"000")),TEXT(999999*RAND(),"000000")))</f>
        <v/>
      </c>
      <c r="BN83" s="333">
        <f t="shared" ca="1" si="39"/>
        <v>0</v>
      </c>
      <c r="BQ83" s="333" t="str">
        <f ca="1">IF(TYPE(VLOOKUP($A83,'5.kolo'!$L$3:$L$66,1,0))&gt;3,IF(TYPE(VLOOKUP($A83,'5.kolo'!$K$3:$L$66,2,0))&gt;3,0,VLOOKUP($A83,'5.kolo'!$K$3:$L$66,2,0)),VLOOKUP($A83,'5.kolo'!$L$3:$O$66,4,0))</f>
        <v/>
      </c>
      <c r="BR83" s="333">
        <f ca="1">IF(TYPE(VLOOKUP($A83,'5.kolo'!$L$3:$L$66,1,0))&gt;3,IF(TYPE(VLOOKUP($A83,'5.kolo'!$O$3:$Q$66,2,0))&gt;3,0,VLOOKUP($A83,'5.kolo'!$O$3:$Q$66,2,0)),VLOOKUP($A83,'5.kolo'!$L$3:$N$66,2,0))</f>
        <v>0</v>
      </c>
      <c r="BS83" s="333">
        <f ca="1">IF(TYPE(VLOOKUP($A83,'5.kolo'!$L$3:$L$66,1,0))&gt;3,IF(TYPE(VLOOKUP($A83,'5.kolo'!$O$3:$Q$66,3,0))&gt;3,0,VLOOKUP($A83,'5.kolo'!$O$3:$Q$66,3,0)),VLOOKUP($A83,'5.kolo'!$L$3:$N$66,3,0))</f>
        <v>0</v>
      </c>
      <c r="BT83" s="333">
        <f t="shared" ca="1" si="57"/>
        <v>0</v>
      </c>
      <c r="BU83" s="415"/>
      <c r="BV83" s="442" t="str">
        <f ca="1">IF(BU83="","",CONCATENATE(TEXT($O83,"0"),IF(Start.listina!$Y$5="","",TEXT(500+$P83,"000")),TEXT(999999*RAND(),"000000")))</f>
        <v/>
      </c>
      <c r="BW83" s="333">
        <f t="shared" ca="1" si="40"/>
        <v>0</v>
      </c>
      <c r="BZ83" s="333" t="str">
        <f ca="1">IF(TYPE(VLOOKUP($A83,'6.kolo'!$L$3:$L$66,1,0))&gt;3,IF(TYPE(VLOOKUP($A83,'6.kolo'!$K$3:$L$66,2,0))&gt;3,0,VLOOKUP($A83,'6.kolo'!$K$3:$L$66,2,0)),VLOOKUP($A83,'6.kolo'!$L$3:$O$66,4,0))</f>
        <v/>
      </c>
      <c r="CA83" s="333">
        <f ca="1">IF(TYPE(VLOOKUP($A83,'6.kolo'!$L$3:$L$66,1,0))&gt;3,IF(TYPE(VLOOKUP($A83,'6.kolo'!$O$3:$Q$66,2,0))&gt;3,0,VLOOKUP($A83,'6.kolo'!$O$3:$Q$66,2,0)),VLOOKUP($A83,'6.kolo'!$L$3:$N$66,2,0))</f>
        <v>0</v>
      </c>
      <c r="CB83" s="333">
        <f ca="1">IF(TYPE(VLOOKUP($A83,'6.kolo'!$L$3:$L$66,1,0))&gt;3,IF(TYPE(VLOOKUP($A83,'6.kolo'!$O$3:$Q$66,3,0))&gt;3,0,VLOOKUP($A83,'6.kolo'!$O$3:$Q$66,3,0)),VLOOKUP($A83,'6.kolo'!$L$3:$N$66,3,0))</f>
        <v>0</v>
      </c>
      <c r="CC83" s="333">
        <f t="shared" ca="1" si="58"/>
        <v>0</v>
      </c>
      <c r="CD83" s="415"/>
      <c r="CE83" s="442" t="str">
        <f ca="1">IF(CD83="","",CONCATENATE(TEXT($O83,"0"),IF(Start.listina!$Y$5="","",TEXT(500+$P83,"000")),TEXT(999999*RAND(),"000000")))</f>
        <v/>
      </c>
      <c r="CF83" s="333">
        <f t="shared" ca="1" si="41"/>
        <v>0</v>
      </c>
    </row>
    <row r="84" spans="1:84" x14ac:dyDescent="0.25">
      <c r="A84" s="333" t="str">
        <f>IF(OR(Start.listina!H92&gt;Start.listina!$K$7,Start.listina!G92=TRUE),"",Start.listina!H92)</f>
        <v/>
      </c>
      <c r="B84" s="333" t="str">
        <f>IF($A84&gt;Start.listina!$K$7,"",INT(($A84-1)/Start.listina!$O$7)+1)</f>
        <v/>
      </c>
      <c r="C84" s="439" t="str">
        <f>IF(OR(Start.listina!H92&gt;Start.listina!$K$7,Start.listina!G92=TRUE)," - ",Start.listina!AL92)</f>
        <v xml:space="preserve"> - </v>
      </c>
      <c r="D84" s="333" t="str">
        <f>IF(OR(A84&gt;Start.listina!$K$7,TYPE(VLOOKUP(A84,$V$3:$X$130,3,0))&gt;3),"",VLOOKUP(A84,$V$3:$X$130,3,0))</f>
        <v/>
      </c>
      <c r="E84" s="440" t="str">
        <f>IF(A84&gt;Start.listina!$K$7,"",IF(MIN(F84:K84)&gt;Start.listina!$Y$4,D84,MIN(F84:K84)))</f>
        <v/>
      </c>
      <c r="F84" s="333">
        <f ca="1">IF(TYPE(VLOOKUP(C84,Konečné_pořadí_1_16!$B$2:$D$17,3,0))&lt;4,VLOOKUP(C84,Konečné_pořadí_1_16!$B$2:$D$17,3,0),999)</f>
        <v>999</v>
      </c>
      <c r="G84" s="333">
        <f ca="1">IF(TYPE(VLOOKUP(C84,'KO64'!$D$4:$D$129,1,0))&lt;4,64,999)</f>
        <v>64</v>
      </c>
      <c r="H84" s="333">
        <f ca="1">IF(TYPE(VLOOKUP(C84,'KO32'!$D$4:$D$65,1,0))&lt;4,32,999)</f>
        <v>32</v>
      </c>
      <c r="I84" s="333">
        <f ca="1">IF(TYPE(VLOOKUP(C84,'KO16'!$D$4:$D$33,1,0))&lt;4,16,999)</f>
        <v>999</v>
      </c>
      <c r="J84" s="333">
        <f ca="1">IF(TYPE(VLOOKUP(C84,'KO8'!$D$4:$D$17,1,0))&lt;4,8,999)</f>
        <v>999</v>
      </c>
      <c r="K84" s="333">
        <f ca="1">IF(TYPE(VLOOKUP(C84,'KO4'!$D$4:$D$9,1,0))&lt;4,4,999)</f>
        <v>999</v>
      </c>
      <c r="M84" s="334">
        <v>82</v>
      </c>
      <c r="O84" s="333">
        <f t="shared" ca="1" si="42"/>
        <v>0</v>
      </c>
      <c r="P84" s="333">
        <f t="shared" ca="1" si="43"/>
        <v>0</v>
      </c>
      <c r="Q84" s="333">
        <f t="shared" ca="1" si="34"/>
        <v>2</v>
      </c>
      <c r="R84" s="333">
        <f t="shared" ca="1" si="35"/>
        <v>0</v>
      </c>
      <c r="S84" s="333">
        <f t="shared" ca="1" si="44"/>
        <v>16</v>
      </c>
      <c r="T84" s="333">
        <f t="shared" ca="1" si="45"/>
        <v>0</v>
      </c>
      <c r="U84" s="415">
        <f t="shared" si="59"/>
        <v>82</v>
      </c>
      <c r="V84" s="415" t="s">
        <v>2005</v>
      </c>
      <c r="W84" s="441" t="str">
        <f ca="1">IF($V84="","",CONCATENATE(TEXT($O84,"0"),IF(Start.listina!$Y$5="","",TEXT(500+$P84,"0000")),IF(Start.listina!$Y$6="","",CHOOSE(Start.listina!$Y$7,TEXT($Q84,"00"),CONCATENATE(TEXT($Q84,"00"),TEXT($S84,"000")), TEXT($R84,"00"))),TEXT(500+$P84,"0000"),IF(Start.listina!$Y$8="","",TEXT($T84,"0")),TEXT(999999*RAND(),"000000")))</f>
        <v/>
      </c>
      <c r="X84" s="417">
        <f t="shared" si="46"/>
        <v>82</v>
      </c>
      <c r="Y84" s="415">
        <f t="shared" ca="1" si="36"/>
        <v>0</v>
      </c>
      <c r="Z84" s="333">
        <f t="shared" ca="1" si="47"/>
        <v>51</v>
      </c>
      <c r="AA84" s="333" t="str">
        <f t="shared" ca="1" si="48"/>
        <v/>
      </c>
      <c r="AB84" s="333" t="str">
        <f t="shared" ca="1" si="49"/>
        <v/>
      </c>
      <c r="AC84" s="333" t="str">
        <f t="shared" ca="1" si="50"/>
        <v/>
      </c>
      <c r="AD84" s="333" t="str">
        <f t="shared" ca="1" si="51"/>
        <v/>
      </c>
      <c r="AE84" s="333" t="str">
        <f t="shared" ca="1" si="52"/>
        <v/>
      </c>
      <c r="AG84" s="333">
        <f ca="1">IF(TYPE(VLOOKUP($A84,'1.kolo'!$L$3:$L$66,1,0))&gt;3,VLOOKUP($A84,'1.kolo'!$K$3:$L$66,2,0),VLOOKUP($A84,'1.kolo'!$L$3:$O$66,4,0))</f>
        <v>51</v>
      </c>
      <c r="AH84" s="333">
        <f ca="1">IF(TYPE(VLOOKUP($A84,'1.kolo'!$L$3:$L$66,1,0))&gt;3,VLOOKUP($A84,'1.kolo'!$O$3:$Q$66,2,0),VLOOKUP($A84,'1.kolo'!$L$3:$N$66,2,0))</f>
        <v>0</v>
      </c>
      <c r="AI84" s="333">
        <f ca="1">IF(TYPE(VLOOKUP($A84,'1.kolo'!$L$3:$L$66,1,0))&gt;3,VLOOKUP($A84,'1.kolo'!$O$3:$Q$66,3,0),VLOOKUP($A84,'1.kolo'!$L$3:$N$66,3,0))</f>
        <v>0</v>
      </c>
      <c r="AJ84" s="333">
        <f t="shared" ca="1" si="53"/>
        <v>0</v>
      </c>
      <c r="AK84" s="333">
        <v>82</v>
      </c>
      <c r="AL84" s="442"/>
      <c r="AP84" s="333" t="str">
        <f ca="1">IF(TYPE(VLOOKUP($A84,'2.kolo'!$L$3:$L$66,1,0))&gt;3,IF(TYPE(VLOOKUP($A84,'2.kolo'!$K$3:$L$66,2,0))&gt;3,0,VLOOKUP($A84,'2.kolo'!$K$3:$L$66,2,0)),VLOOKUP($A84,'2.kolo'!$L$3:$O$66,4,0))</f>
        <v/>
      </c>
      <c r="AQ84" s="333">
        <f ca="1">IF(TYPE(VLOOKUP($A84,'2.kolo'!$L$3:$L$66,1,0))&gt;3,IF(TYPE(VLOOKUP($A84,'2.kolo'!$O$3:$Q$66,2,0))&gt;3,0,VLOOKUP($A84,'2.kolo'!$O$3:$Q$66,2,0)),VLOOKUP($A84,'2.kolo'!$L$3:$N$66,2,0))</f>
        <v>0</v>
      </c>
      <c r="AR84" s="333">
        <f ca="1">IF(TYPE(VLOOKUP($A84,'2.kolo'!$L$3:$L$66,1,0))&gt;3,IF(TYPE(VLOOKUP($A84,'2.kolo'!$O$3:$Q$66,3,0))&gt;3,0,VLOOKUP($A84,'2.kolo'!$O$3:$Q$66,3,0)),VLOOKUP($A84,'2.kolo'!$L$3:$N$66,3,0))</f>
        <v>0</v>
      </c>
      <c r="AS84" s="333">
        <f t="shared" ca="1" si="54"/>
        <v>0</v>
      </c>
      <c r="AT84" s="415" t="s">
        <v>2005</v>
      </c>
      <c r="AU84" s="442" t="str">
        <f ca="1">IF(AT84="","",CONCATENATE(TEXT($O84,"0"),IF(Start.listina!$Y$5="","",TEXT(500+$P84,"000")),TEXT(999999*RAND(),"000000")))</f>
        <v/>
      </c>
      <c r="AV84" s="333">
        <f t="shared" ca="1" si="37"/>
        <v>0</v>
      </c>
      <c r="AY84" s="333" t="str">
        <f ca="1">IF(TYPE(VLOOKUP($A84,'3.kolo'!$L$3:$L$66,1,0))&gt;3,IF(TYPE(VLOOKUP($A84,'3.kolo'!$K$3:$L$66,2,0))&gt;3,0,VLOOKUP($A84,'3.kolo'!$K$3:$L$66,2,0)),VLOOKUP($A84,'3.kolo'!$L$3:$O$66,4,0))</f>
        <v/>
      </c>
      <c r="AZ84" s="333">
        <f ca="1">IF(TYPE(VLOOKUP($A84,'3.kolo'!$L$3:$L$66,1,0))&gt;3,IF(TYPE(VLOOKUP($A84,'3.kolo'!$O$3:$Q$66,2,0))&gt;3,0,VLOOKUP($A84,'3.kolo'!$O$3:$Q$66,2,0)),VLOOKUP($A84,'3.kolo'!$L$3:$N$66,2,0))</f>
        <v>0</v>
      </c>
      <c r="BA84" s="333">
        <f ca="1">IF(TYPE(VLOOKUP($A84,'3.kolo'!$L$3:$L$66,1,0))&gt;3,IF(TYPE(VLOOKUP($A84,'3.kolo'!$O$3:$Q$66,3,0))&gt;3,0,VLOOKUP($A84,'3.kolo'!$O$3:$Q$66,3,0)),VLOOKUP($A84,'3.kolo'!$L$3:$N$66,3,0))</f>
        <v>0</v>
      </c>
      <c r="BB84" s="333">
        <f t="shared" ca="1" si="55"/>
        <v>0</v>
      </c>
      <c r="BC84" s="415" t="s">
        <v>2005</v>
      </c>
      <c r="BD84" s="442" t="str">
        <f ca="1">IF(BC84="","",CONCATENATE(TEXT($O84,"0"),IF(Start.listina!$Y$5="","",TEXT(500+$P84,"000")),TEXT(999999*RAND(),"000000")))</f>
        <v/>
      </c>
      <c r="BE84" s="333">
        <f t="shared" ca="1" si="38"/>
        <v>0</v>
      </c>
      <c r="BH84" s="333" t="str">
        <f ca="1">IF(TYPE(VLOOKUP($A84,'4.kolo'!$L$3:$L$66,1,0))&gt;3,IF(TYPE(VLOOKUP($A84,'4.kolo'!$K$3:$L$66,2,0))&gt;3,0,VLOOKUP($A84,'4.kolo'!$K$3:$L$66,2,0)),VLOOKUP($A84,'4.kolo'!$L$3:$O$66,4,0))</f>
        <v/>
      </c>
      <c r="BI84" s="333">
        <f ca="1">IF(TYPE(VLOOKUP($A84,'4.kolo'!$L$3:$L$66,1,0))&gt;3,IF(TYPE(VLOOKUP($A84,'4.kolo'!$O$3:$Q$66,2,0))&gt;3,0,VLOOKUP($A84,'4.kolo'!$O$3:$Q$66,2,0)),VLOOKUP($A84,'4.kolo'!$L$3:$N$66,2,0))</f>
        <v>0</v>
      </c>
      <c r="BJ84" s="333">
        <f ca="1">IF(TYPE(VLOOKUP($A84,'4.kolo'!$L$3:$L$66,1,0))&gt;3,IF(TYPE(VLOOKUP($A84,'4.kolo'!$O$3:$Q$66,3,0))&gt;3,0,VLOOKUP($A84,'4.kolo'!$O$3:$Q$66,3,0)),VLOOKUP($A84,'4.kolo'!$L$3:$N$66,3,0))</f>
        <v>0</v>
      </c>
      <c r="BK84" s="333">
        <f t="shared" ca="1" si="56"/>
        <v>0</v>
      </c>
      <c r="BL84" s="415" t="s">
        <v>2005</v>
      </c>
      <c r="BM84" s="442" t="str">
        <f ca="1">IF(BL84="","",CONCATENATE(TEXT($O84,"0"),IF(Start.listina!$Y$5="","",TEXT(500+$P84,"000")),TEXT(999999*RAND(),"000000")))</f>
        <v/>
      </c>
      <c r="BN84" s="333">
        <f t="shared" ca="1" si="39"/>
        <v>0</v>
      </c>
      <c r="BQ84" s="333" t="str">
        <f ca="1">IF(TYPE(VLOOKUP($A84,'5.kolo'!$L$3:$L$66,1,0))&gt;3,IF(TYPE(VLOOKUP($A84,'5.kolo'!$K$3:$L$66,2,0))&gt;3,0,VLOOKUP($A84,'5.kolo'!$K$3:$L$66,2,0)),VLOOKUP($A84,'5.kolo'!$L$3:$O$66,4,0))</f>
        <v/>
      </c>
      <c r="BR84" s="333">
        <f ca="1">IF(TYPE(VLOOKUP($A84,'5.kolo'!$L$3:$L$66,1,0))&gt;3,IF(TYPE(VLOOKUP($A84,'5.kolo'!$O$3:$Q$66,2,0))&gt;3,0,VLOOKUP($A84,'5.kolo'!$O$3:$Q$66,2,0)),VLOOKUP($A84,'5.kolo'!$L$3:$N$66,2,0))</f>
        <v>0</v>
      </c>
      <c r="BS84" s="333">
        <f ca="1">IF(TYPE(VLOOKUP($A84,'5.kolo'!$L$3:$L$66,1,0))&gt;3,IF(TYPE(VLOOKUP($A84,'5.kolo'!$O$3:$Q$66,3,0))&gt;3,0,VLOOKUP($A84,'5.kolo'!$O$3:$Q$66,3,0)),VLOOKUP($A84,'5.kolo'!$L$3:$N$66,3,0))</f>
        <v>0</v>
      </c>
      <c r="BT84" s="333">
        <f t="shared" ca="1" si="57"/>
        <v>0</v>
      </c>
      <c r="BU84" s="415"/>
      <c r="BV84" s="442" t="str">
        <f ca="1">IF(BU84="","",CONCATENATE(TEXT($O84,"0"),IF(Start.listina!$Y$5="","",TEXT(500+$P84,"000")),TEXT(999999*RAND(),"000000")))</f>
        <v/>
      </c>
      <c r="BW84" s="333">
        <f t="shared" ca="1" si="40"/>
        <v>0</v>
      </c>
      <c r="BZ84" s="333" t="str">
        <f ca="1">IF(TYPE(VLOOKUP($A84,'6.kolo'!$L$3:$L$66,1,0))&gt;3,IF(TYPE(VLOOKUP($A84,'6.kolo'!$K$3:$L$66,2,0))&gt;3,0,VLOOKUP($A84,'6.kolo'!$K$3:$L$66,2,0)),VLOOKUP($A84,'6.kolo'!$L$3:$O$66,4,0))</f>
        <v/>
      </c>
      <c r="CA84" s="333">
        <f ca="1">IF(TYPE(VLOOKUP($A84,'6.kolo'!$L$3:$L$66,1,0))&gt;3,IF(TYPE(VLOOKUP($A84,'6.kolo'!$O$3:$Q$66,2,0))&gt;3,0,VLOOKUP($A84,'6.kolo'!$O$3:$Q$66,2,0)),VLOOKUP($A84,'6.kolo'!$L$3:$N$66,2,0))</f>
        <v>0</v>
      </c>
      <c r="CB84" s="333">
        <f ca="1">IF(TYPE(VLOOKUP($A84,'6.kolo'!$L$3:$L$66,1,0))&gt;3,IF(TYPE(VLOOKUP($A84,'6.kolo'!$O$3:$Q$66,3,0))&gt;3,0,VLOOKUP($A84,'6.kolo'!$O$3:$Q$66,3,0)),VLOOKUP($A84,'6.kolo'!$L$3:$N$66,3,0))</f>
        <v>0</v>
      </c>
      <c r="CC84" s="333">
        <f t="shared" ca="1" si="58"/>
        <v>0</v>
      </c>
      <c r="CD84" s="415"/>
      <c r="CE84" s="442" t="str">
        <f ca="1">IF(CD84="","",CONCATENATE(TEXT($O84,"0"),IF(Start.listina!$Y$5="","",TEXT(500+$P84,"000")),TEXT(999999*RAND(),"000000")))</f>
        <v/>
      </c>
      <c r="CF84" s="333">
        <f t="shared" ca="1" si="41"/>
        <v>0</v>
      </c>
    </row>
    <row r="85" spans="1:84" x14ac:dyDescent="0.25">
      <c r="A85" s="333" t="str">
        <f>IF(OR(Start.listina!H93&gt;Start.listina!$K$7,Start.listina!G93=TRUE),"",Start.listina!H93)</f>
        <v/>
      </c>
      <c r="B85" s="333" t="str">
        <f>IF($A85&gt;Start.listina!$K$7,"",INT(($A85-1)/Start.listina!$O$7)+1)</f>
        <v/>
      </c>
      <c r="C85" s="439" t="str">
        <f>IF(OR(Start.listina!H93&gt;Start.listina!$K$7,Start.listina!G93=TRUE)," - ",Start.listina!AL93)</f>
        <v xml:space="preserve"> - </v>
      </c>
      <c r="D85" s="333" t="str">
        <f>IF(OR(A85&gt;Start.listina!$K$7,TYPE(VLOOKUP(A85,$V$3:$X$130,3,0))&gt;3),"",VLOOKUP(A85,$V$3:$X$130,3,0))</f>
        <v/>
      </c>
      <c r="E85" s="440" t="str">
        <f>IF(A85&gt;Start.listina!$K$7,"",IF(MIN(F85:K85)&gt;Start.listina!$Y$4,D85,MIN(F85:K85)))</f>
        <v/>
      </c>
      <c r="F85" s="333">
        <f ca="1">IF(TYPE(VLOOKUP(C85,Konečné_pořadí_1_16!$B$2:$D$17,3,0))&lt;4,VLOOKUP(C85,Konečné_pořadí_1_16!$B$2:$D$17,3,0),999)</f>
        <v>999</v>
      </c>
      <c r="G85" s="333">
        <f ca="1">IF(TYPE(VLOOKUP(C85,'KO64'!$D$4:$D$129,1,0))&lt;4,64,999)</f>
        <v>64</v>
      </c>
      <c r="H85" s="333">
        <f ca="1">IF(TYPE(VLOOKUP(C85,'KO32'!$D$4:$D$65,1,0))&lt;4,32,999)</f>
        <v>32</v>
      </c>
      <c r="I85" s="333">
        <f ca="1">IF(TYPE(VLOOKUP(C85,'KO16'!$D$4:$D$33,1,0))&lt;4,16,999)</f>
        <v>999</v>
      </c>
      <c r="J85" s="333">
        <f ca="1">IF(TYPE(VLOOKUP(C85,'KO8'!$D$4:$D$17,1,0))&lt;4,8,999)</f>
        <v>999</v>
      </c>
      <c r="K85" s="333">
        <f ca="1">IF(TYPE(VLOOKUP(C85,'KO4'!$D$4:$D$9,1,0))&lt;4,4,999)</f>
        <v>999</v>
      </c>
      <c r="M85" s="334">
        <v>83</v>
      </c>
      <c r="O85" s="333">
        <f t="shared" ca="1" si="42"/>
        <v>0</v>
      </c>
      <c r="P85" s="333">
        <f t="shared" ca="1" si="43"/>
        <v>0</v>
      </c>
      <c r="Q85" s="333">
        <f t="shared" ca="1" si="34"/>
        <v>2</v>
      </c>
      <c r="R85" s="333">
        <f t="shared" ca="1" si="35"/>
        <v>0</v>
      </c>
      <c r="S85" s="333">
        <f t="shared" ca="1" si="44"/>
        <v>16</v>
      </c>
      <c r="T85" s="333">
        <f t="shared" ca="1" si="45"/>
        <v>0</v>
      </c>
      <c r="U85" s="415">
        <f t="shared" si="59"/>
        <v>83</v>
      </c>
      <c r="V85" s="415" t="s">
        <v>2005</v>
      </c>
      <c r="W85" s="441" t="str">
        <f ca="1">IF($V85="","",CONCATENATE(TEXT($O85,"0"),IF(Start.listina!$Y$5="","",TEXT(500+$P85,"0000")),IF(Start.listina!$Y$6="","",CHOOSE(Start.listina!$Y$7,TEXT($Q85,"00"),CONCATENATE(TEXT($Q85,"00"),TEXT($S85,"000")), TEXT($R85,"00"))),TEXT(500+$P85,"0000"),IF(Start.listina!$Y$8="","",TEXT($T85,"0")),TEXT(999999*RAND(),"000000")))</f>
        <v/>
      </c>
      <c r="X85" s="417">
        <f t="shared" si="46"/>
        <v>83</v>
      </c>
      <c r="Y85" s="415">
        <f t="shared" ca="1" si="36"/>
        <v>0</v>
      </c>
      <c r="Z85" s="333">
        <f t="shared" ca="1" si="47"/>
        <v>51</v>
      </c>
      <c r="AA85" s="333" t="str">
        <f t="shared" ca="1" si="48"/>
        <v/>
      </c>
      <c r="AB85" s="333" t="str">
        <f t="shared" ca="1" si="49"/>
        <v/>
      </c>
      <c r="AC85" s="333" t="str">
        <f t="shared" ca="1" si="50"/>
        <v/>
      </c>
      <c r="AD85" s="333" t="str">
        <f t="shared" ca="1" si="51"/>
        <v/>
      </c>
      <c r="AE85" s="333" t="str">
        <f t="shared" ca="1" si="52"/>
        <v/>
      </c>
      <c r="AG85" s="333">
        <f ca="1">IF(TYPE(VLOOKUP($A85,'1.kolo'!$L$3:$L$66,1,0))&gt;3,VLOOKUP($A85,'1.kolo'!$K$3:$L$66,2,0),VLOOKUP($A85,'1.kolo'!$L$3:$O$66,4,0))</f>
        <v>51</v>
      </c>
      <c r="AH85" s="333">
        <f ca="1">IF(TYPE(VLOOKUP($A85,'1.kolo'!$L$3:$L$66,1,0))&gt;3,VLOOKUP($A85,'1.kolo'!$O$3:$Q$66,2,0),VLOOKUP($A85,'1.kolo'!$L$3:$N$66,2,0))</f>
        <v>0</v>
      </c>
      <c r="AI85" s="333">
        <f ca="1">IF(TYPE(VLOOKUP($A85,'1.kolo'!$L$3:$L$66,1,0))&gt;3,VLOOKUP($A85,'1.kolo'!$O$3:$Q$66,3,0),VLOOKUP($A85,'1.kolo'!$L$3:$N$66,3,0))</f>
        <v>0</v>
      </c>
      <c r="AJ85" s="333">
        <f t="shared" ca="1" si="53"/>
        <v>0</v>
      </c>
      <c r="AK85" s="333">
        <v>83</v>
      </c>
      <c r="AL85" s="442"/>
      <c r="AP85" s="333" t="str">
        <f ca="1">IF(TYPE(VLOOKUP($A85,'2.kolo'!$L$3:$L$66,1,0))&gt;3,IF(TYPE(VLOOKUP($A85,'2.kolo'!$K$3:$L$66,2,0))&gt;3,0,VLOOKUP($A85,'2.kolo'!$K$3:$L$66,2,0)),VLOOKUP($A85,'2.kolo'!$L$3:$O$66,4,0))</f>
        <v/>
      </c>
      <c r="AQ85" s="333">
        <f ca="1">IF(TYPE(VLOOKUP($A85,'2.kolo'!$L$3:$L$66,1,0))&gt;3,IF(TYPE(VLOOKUP($A85,'2.kolo'!$O$3:$Q$66,2,0))&gt;3,0,VLOOKUP($A85,'2.kolo'!$O$3:$Q$66,2,0)),VLOOKUP($A85,'2.kolo'!$L$3:$N$66,2,0))</f>
        <v>0</v>
      </c>
      <c r="AR85" s="333">
        <f ca="1">IF(TYPE(VLOOKUP($A85,'2.kolo'!$L$3:$L$66,1,0))&gt;3,IF(TYPE(VLOOKUP($A85,'2.kolo'!$O$3:$Q$66,3,0))&gt;3,0,VLOOKUP($A85,'2.kolo'!$O$3:$Q$66,3,0)),VLOOKUP($A85,'2.kolo'!$L$3:$N$66,3,0))</f>
        <v>0</v>
      </c>
      <c r="AS85" s="333">
        <f t="shared" ca="1" si="54"/>
        <v>0</v>
      </c>
      <c r="AT85" s="415" t="s">
        <v>2005</v>
      </c>
      <c r="AU85" s="442" t="str">
        <f ca="1">IF(AT85="","",CONCATENATE(TEXT($O85,"0"),IF(Start.listina!$Y$5="","",TEXT(500+$P85,"000")),TEXT(999999*RAND(),"000000")))</f>
        <v/>
      </c>
      <c r="AV85" s="333">
        <f t="shared" ca="1" si="37"/>
        <v>0</v>
      </c>
      <c r="AY85" s="333" t="str">
        <f ca="1">IF(TYPE(VLOOKUP($A85,'3.kolo'!$L$3:$L$66,1,0))&gt;3,IF(TYPE(VLOOKUP($A85,'3.kolo'!$K$3:$L$66,2,0))&gt;3,0,VLOOKUP($A85,'3.kolo'!$K$3:$L$66,2,0)),VLOOKUP($A85,'3.kolo'!$L$3:$O$66,4,0))</f>
        <v/>
      </c>
      <c r="AZ85" s="333">
        <f ca="1">IF(TYPE(VLOOKUP($A85,'3.kolo'!$L$3:$L$66,1,0))&gt;3,IF(TYPE(VLOOKUP($A85,'3.kolo'!$O$3:$Q$66,2,0))&gt;3,0,VLOOKUP($A85,'3.kolo'!$O$3:$Q$66,2,0)),VLOOKUP($A85,'3.kolo'!$L$3:$N$66,2,0))</f>
        <v>0</v>
      </c>
      <c r="BA85" s="333">
        <f ca="1">IF(TYPE(VLOOKUP($A85,'3.kolo'!$L$3:$L$66,1,0))&gt;3,IF(TYPE(VLOOKUP($A85,'3.kolo'!$O$3:$Q$66,3,0))&gt;3,0,VLOOKUP($A85,'3.kolo'!$O$3:$Q$66,3,0)),VLOOKUP($A85,'3.kolo'!$L$3:$N$66,3,0))</f>
        <v>0</v>
      </c>
      <c r="BB85" s="333">
        <f t="shared" ca="1" si="55"/>
        <v>0</v>
      </c>
      <c r="BC85" s="415" t="s">
        <v>2005</v>
      </c>
      <c r="BD85" s="442" t="str">
        <f ca="1">IF(BC85="","",CONCATENATE(TEXT($O85,"0"),IF(Start.listina!$Y$5="","",TEXT(500+$P85,"000")),TEXT(999999*RAND(),"000000")))</f>
        <v/>
      </c>
      <c r="BE85" s="333">
        <f t="shared" ca="1" si="38"/>
        <v>0</v>
      </c>
      <c r="BH85" s="333" t="str">
        <f ca="1">IF(TYPE(VLOOKUP($A85,'4.kolo'!$L$3:$L$66,1,0))&gt;3,IF(TYPE(VLOOKUP($A85,'4.kolo'!$K$3:$L$66,2,0))&gt;3,0,VLOOKUP($A85,'4.kolo'!$K$3:$L$66,2,0)),VLOOKUP($A85,'4.kolo'!$L$3:$O$66,4,0))</f>
        <v/>
      </c>
      <c r="BI85" s="333">
        <f ca="1">IF(TYPE(VLOOKUP($A85,'4.kolo'!$L$3:$L$66,1,0))&gt;3,IF(TYPE(VLOOKUP($A85,'4.kolo'!$O$3:$Q$66,2,0))&gt;3,0,VLOOKUP($A85,'4.kolo'!$O$3:$Q$66,2,0)),VLOOKUP($A85,'4.kolo'!$L$3:$N$66,2,0))</f>
        <v>0</v>
      </c>
      <c r="BJ85" s="333">
        <f ca="1">IF(TYPE(VLOOKUP($A85,'4.kolo'!$L$3:$L$66,1,0))&gt;3,IF(TYPE(VLOOKUP($A85,'4.kolo'!$O$3:$Q$66,3,0))&gt;3,0,VLOOKUP($A85,'4.kolo'!$O$3:$Q$66,3,0)),VLOOKUP($A85,'4.kolo'!$L$3:$N$66,3,0))</f>
        <v>0</v>
      </c>
      <c r="BK85" s="333">
        <f t="shared" ca="1" si="56"/>
        <v>0</v>
      </c>
      <c r="BL85" s="415" t="s">
        <v>2005</v>
      </c>
      <c r="BM85" s="442" t="str">
        <f ca="1">IF(BL85="","",CONCATENATE(TEXT($O85,"0"),IF(Start.listina!$Y$5="","",TEXT(500+$P85,"000")),TEXT(999999*RAND(),"000000")))</f>
        <v/>
      </c>
      <c r="BN85" s="333">
        <f t="shared" ca="1" si="39"/>
        <v>0</v>
      </c>
      <c r="BQ85" s="333" t="str">
        <f ca="1">IF(TYPE(VLOOKUP($A85,'5.kolo'!$L$3:$L$66,1,0))&gt;3,IF(TYPE(VLOOKUP($A85,'5.kolo'!$K$3:$L$66,2,0))&gt;3,0,VLOOKUP($A85,'5.kolo'!$K$3:$L$66,2,0)),VLOOKUP($A85,'5.kolo'!$L$3:$O$66,4,0))</f>
        <v/>
      </c>
      <c r="BR85" s="333">
        <f ca="1">IF(TYPE(VLOOKUP($A85,'5.kolo'!$L$3:$L$66,1,0))&gt;3,IF(TYPE(VLOOKUP($A85,'5.kolo'!$O$3:$Q$66,2,0))&gt;3,0,VLOOKUP($A85,'5.kolo'!$O$3:$Q$66,2,0)),VLOOKUP($A85,'5.kolo'!$L$3:$N$66,2,0))</f>
        <v>0</v>
      </c>
      <c r="BS85" s="333">
        <f ca="1">IF(TYPE(VLOOKUP($A85,'5.kolo'!$L$3:$L$66,1,0))&gt;3,IF(TYPE(VLOOKUP($A85,'5.kolo'!$O$3:$Q$66,3,0))&gt;3,0,VLOOKUP($A85,'5.kolo'!$O$3:$Q$66,3,0)),VLOOKUP($A85,'5.kolo'!$L$3:$N$66,3,0))</f>
        <v>0</v>
      </c>
      <c r="BT85" s="333">
        <f t="shared" ca="1" si="57"/>
        <v>0</v>
      </c>
      <c r="BU85" s="415"/>
      <c r="BV85" s="442" t="str">
        <f ca="1">IF(BU85="","",CONCATENATE(TEXT($O85,"0"),IF(Start.listina!$Y$5="","",TEXT(500+$P85,"000")),TEXT(999999*RAND(),"000000")))</f>
        <v/>
      </c>
      <c r="BW85" s="333">
        <f t="shared" ca="1" si="40"/>
        <v>0</v>
      </c>
      <c r="BZ85" s="333" t="str">
        <f ca="1">IF(TYPE(VLOOKUP($A85,'6.kolo'!$L$3:$L$66,1,0))&gt;3,IF(TYPE(VLOOKUP($A85,'6.kolo'!$K$3:$L$66,2,0))&gt;3,0,VLOOKUP($A85,'6.kolo'!$K$3:$L$66,2,0)),VLOOKUP($A85,'6.kolo'!$L$3:$O$66,4,0))</f>
        <v/>
      </c>
      <c r="CA85" s="333">
        <f ca="1">IF(TYPE(VLOOKUP($A85,'6.kolo'!$L$3:$L$66,1,0))&gt;3,IF(TYPE(VLOOKUP($A85,'6.kolo'!$O$3:$Q$66,2,0))&gt;3,0,VLOOKUP($A85,'6.kolo'!$O$3:$Q$66,2,0)),VLOOKUP($A85,'6.kolo'!$L$3:$N$66,2,0))</f>
        <v>0</v>
      </c>
      <c r="CB85" s="333">
        <f ca="1">IF(TYPE(VLOOKUP($A85,'6.kolo'!$L$3:$L$66,1,0))&gt;3,IF(TYPE(VLOOKUP($A85,'6.kolo'!$O$3:$Q$66,3,0))&gt;3,0,VLOOKUP($A85,'6.kolo'!$O$3:$Q$66,3,0)),VLOOKUP($A85,'6.kolo'!$L$3:$N$66,3,0))</f>
        <v>0</v>
      </c>
      <c r="CC85" s="333">
        <f t="shared" ca="1" si="58"/>
        <v>0</v>
      </c>
      <c r="CD85" s="415"/>
      <c r="CE85" s="442" t="str">
        <f ca="1">IF(CD85="","",CONCATENATE(TEXT($O85,"0"),IF(Start.listina!$Y$5="","",TEXT(500+$P85,"000")),TEXT(999999*RAND(),"000000")))</f>
        <v/>
      </c>
      <c r="CF85" s="333">
        <f t="shared" ca="1" si="41"/>
        <v>0</v>
      </c>
    </row>
    <row r="86" spans="1:84" x14ac:dyDescent="0.25">
      <c r="A86" s="333" t="str">
        <f>IF(OR(Start.listina!H94&gt;Start.listina!$K$7,Start.listina!G94=TRUE),"",Start.listina!H94)</f>
        <v/>
      </c>
      <c r="B86" s="333" t="str">
        <f>IF($A86&gt;Start.listina!$K$7,"",INT(($A86-1)/Start.listina!$O$7)+1)</f>
        <v/>
      </c>
      <c r="C86" s="439" t="str">
        <f>IF(OR(Start.listina!H94&gt;Start.listina!$K$7,Start.listina!G94=TRUE)," - ",Start.listina!AL94)</f>
        <v xml:space="preserve"> - </v>
      </c>
      <c r="D86" s="333" t="str">
        <f>IF(OR(A86&gt;Start.listina!$K$7,TYPE(VLOOKUP(A86,$V$3:$X$130,3,0))&gt;3),"",VLOOKUP(A86,$V$3:$X$130,3,0))</f>
        <v/>
      </c>
      <c r="E86" s="440" t="str">
        <f>IF(A86&gt;Start.listina!$K$7,"",IF(MIN(F86:K86)&gt;Start.listina!$Y$4,D86,MIN(F86:K86)))</f>
        <v/>
      </c>
      <c r="F86" s="333">
        <f ca="1">IF(TYPE(VLOOKUP(C86,Konečné_pořadí_1_16!$B$2:$D$17,3,0))&lt;4,VLOOKUP(C86,Konečné_pořadí_1_16!$B$2:$D$17,3,0),999)</f>
        <v>999</v>
      </c>
      <c r="G86" s="333">
        <f ca="1">IF(TYPE(VLOOKUP(C86,'KO64'!$D$4:$D$129,1,0))&lt;4,64,999)</f>
        <v>64</v>
      </c>
      <c r="H86" s="333">
        <f ca="1">IF(TYPE(VLOOKUP(C86,'KO32'!$D$4:$D$65,1,0))&lt;4,32,999)</f>
        <v>32</v>
      </c>
      <c r="I86" s="333">
        <f ca="1">IF(TYPE(VLOOKUP(C86,'KO16'!$D$4:$D$33,1,0))&lt;4,16,999)</f>
        <v>999</v>
      </c>
      <c r="J86" s="333">
        <f ca="1">IF(TYPE(VLOOKUP(C86,'KO8'!$D$4:$D$17,1,0))&lt;4,8,999)</f>
        <v>999</v>
      </c>
      <c r="K86" s="333">
        <f ca="1">IF(TYPE(VLOOKUP(C86,'KO4'!$D$4:$D$9,1,0))&lt;4,4,999)</f>
        <v>999</v>
      </c>
      <c r="M86" s="334">
        <v>84</v>
      </c>
      <c r="O86" s="333">
        <f t="shared" ca="1" si="42"/>
        <v>0</v>
      </c>
      <c r="P86" s="333">
        <f t="shared" ca="1" si="43"/>
        <v>0</v>
      </c>
      <c r="Q86" s="333">
        <f t="shared" ca="1" si="34"/>
        <v>2</v>
      </c>
      <c r="R86" s="333">
        <f t="shared" ca="1" si="35"/>
        <v>0</v>
      </c>
      <c r="S86" s="333">
        <f t="shared" ca="1" si="44"/>
        <v>16</v>
      </c>
      <c r="T86" s="333">
        <f t="shared" ca="1" si="45"/>
        <v>0</v>
      </c>
      <c r="U86" s="415">
        <f t="shared" si="59"/>
        <v>84</v>
      </c>
      <c r="V86" s="415" t="s">
        <v>2005</v>
      </c>
      <c r="W86" s="441" t="str">
        <f ca="1">IF($V86="","",CONCATENATE(TEXT($O86,"0"),IF(Start.listina!$Y$5="","",TEXT(500+$P86,"0000")),IF(Start.listina!$Y$6="","",CHOOSE(Start.listina!$Y$7,TEXT($Q86,"00"),CONCATENATE(TEXT($Q86,"00"),TEXT($S86,"000")), TEXT($R86,"00"))),TEXT(500+$P86,"0000"),IF(Start.listina!$Y$8="","",TEXT($T86,"0")),TEXT(999999*RAND(),"000000")))</f>
        <v/>
      </c>
      <c r="X86" s="417">
        <f t="shared" si="46"/>
        <v>84</v>
      </c>
      <c r="Y86" s="415">
        <f t="shared" ca="1" si="36"/>
        <v>0</v>
      </c>
      <c r="Z86" s="333">
        <f t="shared" ca="1" si="47"/>
        <v>51</v>
      </c>
      <c r="AA86" s="333" t="str">
        <f t="shared" ca="1" si="48"/>
        <v/>
      </c>
      <c r="AB86" s="333" t="str">
        <f t="shared" ca="1" si="49"/>
        <v/>
      </c>
      <c r="AC86" s="333" t="str">
        <f t="shared" ca="1" si="50"/>
        <v/>
      </c>
      <c r="AD86" s="333" t="str">
        <f t="shared" ca="1" si="51"/>
        <v/>
      </c>
      <c r="AE86" s="333" t="str">
        <f t="shared" ca="1" si="52"/>
        <v/>
      </c>
      <c r="AG86" s="333">
        <f ca="1">IF(TYPE(VLOOKUP($A86,'1.kolo'!$L$3:$L$66,1,0))&gt;3,VLOOKUP($A86,'1.kolo'!$K$3:$L$66,2,0),VLOOKUP($A86,'1.kolo'!$L$3:$O$66,4,0))</f>
        <v>51</v>
      </c>
      <c r="AH86" s="333">
        <f ca="1">IF(TYPE(VLOOKUP($A86,'1.kolo'!$L$3:$L$66,1,0))&gt;3,VLOOKUP($A86,'1.kolo'!$O$3:$Q$66,2,0),VLOOKUP($A86,'1.kolo'!$L$3:$N$66,2,0))</f>
        <v>0</v>
      </c>
      <c r="AI86" s="333">
        <f ca="1">IF(TYPE(VLOOKUP($A86,'1.kolo'!$L$3:$L$66,1,0))&gt;3,VLOOKUP($A86,'1.kolo'!$O$3:$Q$66,3,0),VLOOKUP($A86,'1.kolo'!$L$3:$N$66,3,0))</f>
        <v>0</v>
      </c>
      <c r="AJ86" s="333">
        <f t="shared" ca="1" si="53"/>
        <v>0</v>
      </c>
      <c r="AK86" s="333">
        <v>84</v>
      </c>
      <c r="AL86" s="442"/>
      <c r="AP86" s="333" t="str">
        <f ca="1">IF(TYPE(VLOOKUP($A86,'2.kolo'!$L$3:$L$66,1,0))&gt;3,IF(TYPE(VLOOKUP($A86,'2.kolo'!$K$3:$L$66,2,0))&gt;3,0,VLOOKUP($A86,'2.kolo'!$K$3:$L$66,2,0)),VLOOKUP($A86,'2.kolo'!$L$3:$O$66,4,0))</f>
        <v/>
      </c>
      <c r="AQ86" s="333">
        <f ca="1">IF(TYPE(VLOOKUP($A86,'2.kolo'!$L$3:$L$66,1,0))&gt;3,IF(TYPE(VLOOKUP($A86,'2.kolo'!$O$3:$Q$66,2,0))&gt;3,0,VLOOKUP($A86,'2.kolo'!$O$3:$Q$66,2,0)),VLOOKUP($A86,'2.kolo'!$L$3:$N$66,2,0))</f>
        <v>0</v>
      </c>
      <c r="AR86" s="333">
        <f ca="1">IF(TYPE(VLOOKUP($A86,'2.kolo'!$L$3:$L$66,1,0))&gt;3,IF(TYPE(VLOOKUP($A86,'2.kolo'!$O$3:$Q$66,3,0))&gt;3,0,VLOOKUP($A86,'2.kolo'!$O$3:$Q$66,3,0)),VLOOKUP($A86,'2.kolo'!$L$3:$N$66,3,0))</f>
        <v>0</v>
      </c>
      <c r="AS86" s="333">
        <f t="shared" ca="1" si="54"/>
        <v>0</v>
      </c>
      <c r="AT86" s="415" t="s">
        <v>2005</v>
      </c>
      <c r="AU86" s="442" t="str">
        <f ca="1">IF(AT86="","",CONCATENATE(TEXT($O86,"0"),IF(Start.listina!$Y$5="","",TEXT(500+$P86,"000")),TEXT(999999*RAND(),"000000")))</f>
        <v/>
      </c>
      <c r="AV86" s="333">
        <f t="shared" ca="1" si="37"/>
        <v>0</v>
      </c>
      <c r="AY86" s="333" t="str">
        <f ca="1">IF(TYPE(VLOOKUP($A86,'3.kolo'!$L$3:$L$66,1,0))&gt;3,IF(TYPE(VLOOKUP($A86,'3.kolo'!$K$3:$L$66,2,0))&gt;3,0,VLOOKUP($A86,'3.kolo'!$K$3:$L$66,2,0)),VLOOKUP($A86,'3.kolo'!$L$3:$O$66,4,0))</f>
        <v/>
      </c>
      <c r="AZ86" s="333">
        <f ca="1">IF(TYPE(VLOOKUP($A86,'3.kolo'!$L$3:$L$66,1,0))&gt;3,IF(TYPE(VLOOKUP($A86,'3.kolo'!$O$3:$Q$66,2,0))&gt;3,0,VLOOKUP($A86,'3.kolo'!$O$3:$Q$66,2,0)),VLOOKUP($A86,'3.kolo'!$L$3:$N$66,2,0))</f>
        <v>0</v>
      </c>
      <c r="BA86" s="333">
        <f ca="1">IF(TYPE(VLOOKUP($A86,'3.kolo'!$L$3:$L$66,1,0))&gt;3,IF(TYPE(VLOOKUP($A86,'3.kolo'!$O$3:$Q$66,3,0))&gt;3,0,VLOOKUP($A86,'3.kolo'!$O$3:$Q$66,3,0)),VLOOKUP($A86,'3.kolo'!$L$3:$N$66,3,0))</f>
        <v>0</v>
      </c>
      <c r="BB86" s="333">
        <f t="shared" ca="1" si="55"/>
        <v>0</v>
      </c>
      <c r="BC86" s="415" t="s">
        <v>2005</v>
      </c>
      <c r="BD86" s="442" t="str">
        <f ca="1">IF(BC86="","",CONCATENATE(TEXT($O86,"0"),IF(Start.listina!$Y$5="","",TEXT(500+$P86,"000")),TEXT(999999*RAND(),"000000")))</f>
        <v/>
      </c>
      <c r="BE86" s="333">
        <f t="shared" ca="1" si="38"/>
        <v>0</v>
      </c>
      <c r="BH86" s="333" t="str">
        <f ca="1">IF(TYPE(VLOOKUP($A86,'4.kolo'!$L$3:$L$66,1,0))&gt;3,IF(TYPE(VLOOKUP($A86,'4.kolo'!$K$3:$L$66,2,0))&gt;3,0,VLOOKUP($A86,'4.kolo'!$K$3:$L$66,2,0)),VLOOKUP($A86,'4.kolo'!$L$3:$O$66,4,0))</f>
        <v/>
      </c>
      <c r="BI86" s="333">
        <f ca="1">IF(TYPE(VLOOKUP($A86,'4.kolo'!$L$3:$L$66,1,0))&gt;3,IF(TYPE(VLOOKUP($A86,'4.kolo'!$O$3:$Q$66,2,0))&gt;3,0,VLOOKUP($A86,'4.kolo'!$O$3:$Q$66,2,0)),VLOOKUP($A86,'4.kolo'!$L$3:$N$66,2,0))</f>
        <v>0</v>
      </c>
      <c r="BJ86" s="333">
        <f ca="1">IF(TYPE(VLOOKUP($A86,'4.kolo'!$L$3:$L$66,1,0))&gt;3,IF(TYPE(VLOOKUP($A86,'4.kolo'!$O$3:$Q$66,3,0))&gt;3,0,VLOOKUP($A86,'4.kolo'!$O$3:$Q$66,3,0)),VLOOKUP($A86,'4.kolo'!$L$3:$N$66,3,0))</f>
        <v>0</v>
      </c>
      <c r="BK86" s="333">
        <f t="shared" ca="1" si="56"/>
        <v>0</v>
      </c>
      <c r="BL86" s="415" t="s">
        <v>2005</v>
      </c>
      <c r="BM86" s="442" t="str">
        <f ca="1">IF(BL86="","",CONCATENATE(TEXT($O86,"0"),IF(Start.listina!$Y$5="","",TEXT(500+$P86,"000")),TEXT(999999*RAND(),"000000")))</f>
        <v/>
      </c>
      <c r="BN86" s="333">
        <f t="shared" ca="1" si="39"/>
        <v>0</v>
      </c>
      <c r="BQ86" s="333" t="str">
        <f ca="1">IF(TYPE(VLOOKUP($A86,'5.kolo'!$L$3:$L$66,1,0))&gt;3,IF(TYPE(VLOOKUP($A86,'5.kolo'!$K$3:$L$66,2,0))&gt;3,0,VLOOKUP($A86,'5.kolo'!$K$3:$L$66,2,0)),VLOOKUP($A86,'5.kolo'!$L$3:$O$66,4,0))</f>
        <v/>
      </c>
      <c r="BR86" s="333">
        <f ca="1">IF(TYPE(VLOOKUP($A86,'5.kolo'!$L$3:$L$66,1,0))&gt;3,IF(TYPE(VLOOKUP($A86,'5.kolo'!$O$3:$Q$66,2,0))&gt;3,0,VLOOKUP($A86,'5.kolo'!$O$3:$Q$66,2,0)),VLOOKUP($A86,'5.kolo'!$L$3:$N$66,2,0))</f>
        <v>0</v>
      </c>
      <c r="BS86" s="333">
        <f ca="1">IF(TYPE(VLOOKUP($A86,'5.kolo'!$L$3:$L$66,1,0))&gt;3,IF(TYPE(VLOOKUP($A86,'5.kolo'!$O$3:$Q$66,3,0))&gt;3,0,VLOOKUP($A86,'5.kolo'!$O$3:$Q$66,3,0)),VLOOKUP($A86,'5.kolo'!$L$3:$N$66,3,0))</f>
        <v>0</v>
      </c>
      <c r="BT86" s="333">
        <f t="shared" ca="1" si="57"/>
        <v>0</v>
      </c>
      <c r="BU86" s="415"/>
      <c r="BV86" s="442" t="str">
        <f ca="1">IF(BU86="","",CONCATENATE(TEXT($O86,"0"),IF(Start.listina!$Y$5="","",TEXT(500+$P86,"000")),TEXT(999999*RAND(),"000000")))</f>
        <v/>
      </c>
      <c r="BW86" s="333">
        <f t="shared" ca="1" si="40"/>
        <v>0</v>
      </c>
      <c r="BZ86" s="333" t="str">
        <f ca="1">IF(TYPE(VLOOKUP($A86,'6.kolo'!$L$3:$L$66,1,0))&gt;3,IF(TYPE(VLOOKUP($A86,'6.kolo'!$K$3:$L$66,2,0))&gt;3,0,VLOOKUP($A86,'6.kolo'!$K$3:$L$66,2,0)),VLOOKUP($A86,'6.kolo'!$L$3:$O$66,4,0))</f>
        <v/>
      </c>
      <c r="CA86" s="333">
        <f ca="1">IF(TYPE(VLOOKUP($A86,'6.kolo'!$L$3:$L$66,1,0))&gt;3,IF(TYPE(VLOOKUP($A86,'6.kolo'!$O$3:$Q$66,2,0))&gt;3,0,VLOOKUP($A86,'6.kolo'!$O$3:$Q$66,2,0)),VLOOKUP($A86,'6.kolo'!$L$3:$N$66,2,0))</f>
        <v>0</v>
      </c>
      <c r="CB86" s="333">
        <f ca="1">IF(TYPE(VLOOKUP($A86,'6.kolo'!$L$3:$L$66,1,0))&gt;3,IF(TYPE(VLOOKUP($A86,'6.kolo'!$O$3:$Q$66,3,0))&gt;3,0,VLOOKUP($A86,'6.kolo'!$O$3:$Q$66,3,0)),VLOOKUP($A86,'6.kolo'!$L$3:$N$66,3,0))</f>
        <v>0</v>
      </c>
      <c r="CC86" s="333">
        <f t="shared" ca="1" si="58"/>
        <v>0</v>
      </c>
      <c r="CD86" s="415"/>
      <c r="CE86" s="442" t="str">
        <f ca="1">IF(CD86="","",CONCATENATE(TEXT($O86,"0"),IF(Start.listina!$Y$5="","",TEXT(500+$P86,"000")),TEXT(999999*RAND(),"000000")))</f>
        <v/>
      </c>
      <c r="CF86" s="333">
        <f t="shared" ca="1" si="41"/>
        <v>0</v>
      </c>
    </row>
    <row r="87" spans="1:84" x14ac:dyDescent="0.25">
      <c r="A87" s="333" t="str">
        <f>IF(OR(Start.listina!H95&gt;Start.listina!$K$7,Start.listina!G95=TRUE),"",Start.listina!H95)</f>
        <v/>
      </c>
      <c r="B87" s="333" t="str">
        <f>IF($A87&gt;Start.listina!$K$7,"",INT(($A87-1)/Start.listina!$O$7)+1)</f>
        <v/>
      </c>
      <c r="C87" s="439" t="str">
        <f>IF(OR(Start.listina!H95&gt;Start.listina!$K$7,Start.listina!G95=TRUE)," - ",Start.listina!AL95)</f>
        <v xml:space="preserve"> - </v>
      </c>
      <c r="D87" s="333" t="str">
        <f>IF(OR(A87&gt;Start.listina!$K$7,TYPE(VLOOKUP(A87,$V$3:$X$130,3,0))&gt;3),"",VLOOKUP(A87,$V$3:$X$130,3,0))</f>
        <v/>
      </c>
      <c r="E87" s="440" t="str">
        <f>IF(A87&gt;Start.listina!$K$7,"",IF(MIN(F87:K87)&gt;Start.listina!$Y$4,D87,MIN(F87:K87)))</f>
        <v/>
      </c>
      <c r="F87" s="333">
        <f ca="1">IF(TYPE(VLOOKUP(C87,Konečné_pořadí_1_16!$B$2:$D$17,3,0))&lt;4,VLOOKUP(C87,Konečné_pořadí_1_16!$B$2:$D$17,3,0),999)</f>
        <v>999</v>
      </c>
      <c r="G87" s="333">
        <f ca="1">IF(TYPE(VLOOKUP(C87,'KO64'!$D$4:$D$129,1,0))&lt;4,64,999)</f>
        <v>64</v>
      </c>
      <c r="H87" s="333">
        <f ca="1">IF(TYPE(VLOOKUP(C87,'KO32'!$D$4:$D$65,1,0))&lt;4,32,999)</f>
        <v>32</v>
      </c>
      <c r="I87" s="333">
        <f ca="1">IF(TYPE(VLOOKUP(C87,'KO16'!$D$4:$D$33,1,0))&lt;4,16,999)</f>
        <v>999</v>
      </c>
      <c r="J87" s="333">
        <f ca="1">IF(TYPE(VLOOKUP(C87,'KO8'!$D$4:$D$17,1,0))&lt;4,8,999)</f>
        <v>999</v>
      </c>
      <c r="K87" s="333">
        <f ca="1">IF(TYPE(VLOOKUP(C87,'KO4'!$D$4:$D$9,1,0))&lt;4,4,999)</f>
        <v>999</v>
      </c>
      <c r="M87" s="334">
        <v>85</v>
      </c>
      <c r="O87" s="333">
        <f t="shared" ca="1" si="42"/>
        <v>0</v>
      </c>
      <c r="P87" s="333">
        <f t="shared" ca="1" si="43"/>
        <v>0</v>
      </c>
      <c r="Q87" s="333">
        <f t="shared" ca="1" si="34"/>
        <v>2</v>
      </c>
      <c r="R87" s="333">
        <f t="shared" ca="1" si="35"/>
        <v>0</v>
      </c>
      <c r="S87" s="333">
        <f t="shared" ca="1" si="44"/>
        <v>16</v>
      </c>
      <c r="T87" s="333">
        <f t="shared" ca="1" si="45"/>
        <v>0</v>
      </c>
      <c r="U87" s="415">
        <f t="shared" si="59"/>
        <v>85</v>
      </c>
      <c r="V87" s="415" t="s">
        <v>2005</v>
      </c>
      <c r="W87" s="441" t="str">
        <f ca="1">IF($V87="","",CONCATENATE(TEXT($O87,"0"),IF(Start.listina!$Y$5="","",TEXT(500+$P87,"0000")),IF(Start.listina!$Y$6="","",CHOOSE(Start.listina!$Y$7,TEXT($Q87,"00"),CONCATENATE(TEXT($Q87,"00"),TEXT($S87,"000")), TEXT($R87,"00"))),TEXT(500+$P87,"0000"),IF(Start.listina!$Y$8="","",TEXT($T87,"0")),TEXT(999999*RAND(),"000000")))</f>
        <v/>
      </c>
      <c r="X87" s="417">
        <f t="shared" si="46"/>
        <v>85</v>
      </c>
      <c r="Y87" s="415">
        <f t="shared" ca="1" si="36"/>
        <v>0</v>
      </c>
      <c r="Z87" s="333">
        <f t="shared" ca="1" si="47"/>
        <v>51</v>
      </c>
      <c r="AA87" s="333" t="str">
        <f t="shared" ca="1" si="48"/>
        <v/>
      </c>
      <c r="AB87" s="333" t="str">
        <f t="shared" ca="1" si="49"/>
        <v/>
      </c>
      <c r="AC87" s="333" t="str">
        <f t="shared" ca="1" si="50"/>
        <v/>
      </c>
      <c r="AD87" s="333" t="str">
        <f t="shared" ca="1" si="51"/>
        <v/>
      </c>
      <c r="AE87" s="333" t="str">
        <f t="shared" ca="1" si="52"/>
        <v/>
      </c>
      <c r="AG87" s="333">
        <f ca="1">IF(TYPE(VLOOKUP($A87,'1.kolo'!$L$3:$L$66,1,0))&gt;3,VLOOKUP($A87,'1.kolo'!$K$3:$L$66,2,0),VLOOKUP($A87,'1.kolo'!$L$3:$O$66,4,0))</f>
        <v>51</v>
      </c>
      <c r="AH87" s="333">
        <f ca="1">IF(TYPE(VLOOKUP($A87,'1.kolo'!$L$3:$L$66,1,0))&gt;3,VLOOKUP($A87,'1.kolo'!$O$3:$Q$66,2,0),VLOOKUP($A87,'1.kolo'!$L$3:$N$66,2,0))</f>
        <v>0</v>
      </c>
      <c r="AI87" s="333">
        <f ca="1">IF(TYPE(VLOOKUP($A87,'1.kolo'!$L$3:$L$66,1,0))&gt;3,VLOOKUP($A87,'1.kolo'!$O$3:$Q$66,3,0),VLOOKUP($A87,'1.kolo'!$L$3:$N$66,3,0))</f>
        <v>0</v>
      </c>
      <c r="AJ87" s="333">
        <f t="shared" ca="1" si="53"/>
        <v>0</v>
      </c>
      <c r="AK87" s="333">
        <v>85</v>
      </c>
      <c r="AL87" s="442"/>
      <c r="AP87" s="333" t="str">
        <f ca="1">IF(TYPE(VLOOKUP($A87,'2.kolo'!$L$3:$L$66,1,0))&gt;3,IF(TYPE(VLOOKUP($A87,'2.kolo'!$K$3:$L$66,2,0))&gt;3,0,VLOOKUP($A87,'2.kolo'!$K$3:$L$66,2,0)),VLOOKUP($A87,'2.kolo'!$L$3:$O$66,4,0))</f>
        <v/>
      </c>
      <c r="AQ87" s="333">
        <f ca="1">IF(TYPE(VLOOKUP($A87,'2.kolo'!$L$3:$L$66,1,0))&gt;3,IF(TYPE(VLOOKUP($A87,'2.kolo'!$O$3:$Q$66,2,0))&gt;3,0,VLOOKUP($A87,'2.kolo'!$O$3:$Q$66,2,0)),VLOOKUP($A87,'2.kolo'!$L$3:$N$66,2,0))</f>
        <v>0</v>
      </c>
      <c r="AR87" s="333">
        <f ca="1">IF(TYPE(VLOOKUP($A87,'2.kolo'!$L$3:$L$66,1,0))&gt;3,IF(TYPE(VLOOKUP($A87,'2.kolo'!$O$3:$Q$66,3,0))&gt;3,0,VLOOKUP($A87,'2.kolo'!$O$3:$Q$66,3,0)),VLOOKUP($A87,'2.kolo'!$L$3:$N$66,3,0))</f>
        <v>0</v>
      </c>
      <c r="AS87" s="333">
        <f t="shared" ca="1" si="54"/>
        <v>0</v>
      </c>
      <c r="AT87" s="415" t="s">
        <v>2005</v>
      </c>
      <c r="AU87" s="442" t="str">
        <f ca="1">IF(AT87="","",CONCATENATE(TEXT($O87,"0"),IF(Start.listina!$Y$5="","",TEXT(500+$P87,"000")),TEXT(999999*RAND(),"000000")))</f>
        <v/>
      </c>
      <c r="AV87" s="333">
        <f t="shared" ca="1" si="37"/>
        <v>0</v>
      </c>
      <c r="AY87" s="333" t="str">
        <f ca="1">IF(TYPE(VLOOKUP($A87,'3.kolo'!$L$3:$L$66,1,0))&gt;3,IF(TYPE(VLOOKUP($A87,'3.kolo'!$K$3:$L$66,2,0))&gt;3,0,VLOOKUP($A87,'3.kolo'!$K$3:$L$66,2,0)),VLOOKUP($A87,'3.kolo'!$L$3:$O$66,4,0))</f>
        <v/>
      </c>
      <c r="AZ87" s="333">
        <f ca="1">IF(TYPE(VLOOKUP($A87,'3.kolo'!$L$3:$L$66,1,0))&gt;3,IF(TYPE(VLOOKUP($A87,'3.kolo'!$O$3:$Q$66,2,0))&gt;3,0,VLOOKUP($A87,'3.kolo'!$O$3:$Q$66,2,0)),VLOOKUP($A87,'3.kolo'!$L$3:$N$66,2,0))</f>
        <v>0</v>
      </c>
      <c r="BA87" s="333">
        <f ca="1">IF(TYPE(VLOOKUP($A87,'3.kolo'!$L$3:$L$66,1,0))&gt;3,IF(TYPE(VLOOKUP($A87,'3.kolo'!$O$3:$Q$66,3,0))&gt;3,0,VLOOKUP($A87,'3.kolo'!$O$3:$Q$66,3,0)),VLOOKUP($A87,'3.kolo'!$L$3:$N$66,3,0))</f>
        <v>0</v>
      </c>
      <c r="BB87" s="333">
        <f t="shared" ca="1" si="55"/>
        <v>0</v>
      </c>
      <c r="BC87" s="415" t="s">
        <v>2005</v>
      </c>
      <c r="BD87" s="442" t="str">
        <f ca="1">IF(BC87="","",CONCATENATE(TEXT($O87,"0"),IF(Start.listina!$Y$5="","",TEXT(500+$P87,"000")),TEXT(999999*RAND(),"000000")))</f>
        <v/>
      </c>
      <c r="BE87" s="333">
        <f t="shared" ca="1" si="38"/>
        <v>0</v>
      </c>
      <c r="BH87" s="333" t="str">
        <f ca="1">IF(TYPE(VLOOKUP($A87,'4.kolo'!$L$3:$L$66,1,0))&gt;3,IF(TYPE(VLOOKUP($A87,'4.kolo'!$K$3:$L$66,2,0))&gt;3,0,VLOOKUP($A87,'4.kolo'!$K$3:$L$66,2,0)),VLOOKUP($A87,'4.kolo'!$L$3:$O$66,4,0))</f>
        <v/>
      </c>
      <c r="BI87" s="333">
        <f ca="1">IF(TYPE(VLOOKUP($A87,'4.kolo'!$L$3:$L$66,1,0))&gt;3,IF(TYPE(VLOOKUP($A87,'4.kolo'!$O$3:$Q$66,2,0))&gt;3,0,VLOOKUP($A87,'4.kolo'!$O$3:$Q$66,2,0)),VLOOKUP($A87,'4.kolo'!$L$3:$N$66,2,0))</f>
        <v>0</v>
      </c>
      <c r="BJ87" s="333">
        <f ca="1">IF(TYPE(VLOOKUP($A87,'4.kolo'!$L$3:$L$66,1,0))&gt;3,IF(TYPE(VLOOKUP($A87,'4.kolo'!$O$3:$Q$66,3,0))&gt;3,0,VLOOKUP($A87,'4.kolo'!$O$3:$Q$66,3,0)),VLOOKUP($A87,'4.kolo'!$L$3:$N$66,3,0))</f>
        <v>0</v>
      </c>
      <c r="BK87" s="333">
        <f t="shared" ca="1" si="56"/>
        <v>0</v>
      </c>
      <c r="BL87" s="415" t="s">
        <v>2005</v>
      </c>
      <c r="BM87" s="442" t="str">
        <f ca="1">IF(BL87="","",CONCATENATE(TEXT($O87,"0"),IF(Start.listina!$Y$5="","",TEXT(500+$P87,"000")),TEXT(999999*RAND(),"000000")))</f>
        <v/>
      </c>
      <c r="BN87" s="333">
        <f t="shared" ca="1" si="39"/>
        <v>0</v>
      </c>
      <c r="BQ87" s="333" t="str">
        <f ca="1">IF(TYPE(VLOOKUP($A87,'5.kolo'!$L$3:$L$66,1,0))&gt;3,IF(TYPE(VLOOKUP($A87,'5.kolo'!$K$3:$L$66,2,0))&gt;3,0,VLOOKUP($A87,'5.kolo'!$K$3:$L$66,2,0)),VLOOKUP($A87,'5.kolo'!$L$3:$O$66,4,0))</f>
        <v/>
      </c>
      <c r="BR87" s="333">
        <f ca="1">IF(TYPE(VLOOKUP($A87,'5.kolo'!$L$3:$L$66,1,0))&gt;3,IF(TYPE(VLOOKUP($A87,'5.kolo'!$O$3:$Q$66,2,0))&gt;3,0,VLOOKUP($A87,'5.kolo'!$O$3:$Q$66,2,0)),VLOOKUP($A87,'5.kolo'!$L$3:$N$66,2,0))</f>
        <v>0</v>
      </c>
      <c r="BS87" s="333">
        <f ca="1">IF(TYPE(VLOOKUP($A87,'5.kolo'!$L$3:$L$66,1,0))&gt;3,IF(TYPE(VLOOKUP($A87,'5.kolo'!$O$3:$Q$66,3,0))&gt;3,0,VLOOKUP($A87,'5.kolo'!$O$3:$Q$66,3,0)),VLOOKUP($A87,'5.kolo'!$L$3:$N$66,3,0))</f>
        <v>0</v>
      </c>
      <c r="BT87" s="333">
        <f t="shared" ca="1" si="57"/>
        <v>0</v>
      </c>
      <c r="BU87" s="415"/>
      <c r="BV87" s="442" t="str">
        <f ca="1">IF(BU87="","",CONCATENATE(TEXT($O87,"0"),IF(Start.listina!$Y$5="","",TEXT(500+$P87,"000")),TEXT(999999*RAND(),"000000")))</f>
        <v/>
      </c>
      <c r="BW87" s="333">
        <f t="shared" ca="1" si="40"/>
        <v>0</v>
      </c>
      <c r="BZ87" s="333" t="str">
        <f ca="1">IF(TYPE(VLOOKUP($A87,'6.kolo'!$L$3:$L$66,1,0))&gt;3,IF(TYPE(VLOOKUP($A87,'6.kolo'!$K$3:$L$66,2,0))&gt;3,0,VLOOKUP($A87,'6.kolo'!$K$3:$L$66,2,0)),VLOOKUP($A87,'6.kolo'!$L$3:$O$66,4,0))</f>
        <v/>
      </c>
      <c r="CA87" s="333">
        <f ca="1">IF(TYPE(VLOOKUP($A87,'6.kolo'!$L$3:$L$66,1,0))&gt;3,IF(TYPE(VLOOKUP($A87,'6.kolo'!$O$3:$Q$66,2,0))&gt;3,0,VLOOKUP($A87,'6.kolo'!$O$3:$Q$66,2,0)),VLOOKUP($A87,'6.kolo'!$L$3:$N$66,2,0))</f>
        <v>0</v>
      </c>
      <c r="CB87" s="333">
        <f ca="1">IF(TYPE(VLOOKUP($A87,'6.kolo'!$L$3:$L$66,1,0))&gt;3,IF(TYPE(VLOOKUP($A87,'6.kolo'!$O$3:$Q$66,3,0))&gt;3,0,VLOOKUP($A87,'6.kolo'!$O$3:$Q$66,3,0)),VLOOKUP($A87,'6.kolo'!$L$3:$N$66,3,0))</f>
        <v>0</v>
      </c>
      <c r="CC87" s="333">
        <f t="shared" ca="1" si="58"/>
        <v>0</v>
      </c>
      <c r="CD87" s="415"/>
      <c r="CE87" s="442" t="str">
        <f ca="1">IF(CD87="","",CONCATENATE(TEXT($O87,"0"),IF(Start.listina!$Y$5="","",TEXT(500+$P87,"000")),TEXT(999999*RAND(),"000000")))</f>
        <v/>
      </c>
      <c r="CF87" s="333">
        <f t="shared" ca="1" si="41"/>
        <v>0</v>
      </c>
    </row>
    <row r="88" spans="1:84" x14ac:dyDescent="0.25">
      <c r="A88" s="333" t="str">
        <f>IF(OR(Start.listina!H96&gt;Start.listina!$K$7,Start.listina!G96=TRUE),"",Start.listina!H96)</f>
        <v/>
      </c>
      <c r="B88" s="333" t="str">
        <f>IF($A88&gt;Start.listina!$K$7,"",INT(($A88-1)/Start.listina!$O$7)+1)</f>
        <v/>
      </c>
      <c r="C88" s="439" t="str">
        <f>IF(OR(Start.listina!H96&gt;Start.listina!$K$7,Start.listina!G96=TRUE)," - ",Start.listina!AL96)</f>
        <v xml:space="preserve"> - </v>
      </c>
      <c r="D88" s="333" t="str">
        <f>IF(OR(A88&gt;Start.listina!$K$7,TYPE(VLOOKUP(A88,$V$3:$X$130,3,0))&gt;3),"",VLOOKUP(A88,$V$3:$X$130,3,0))</f>
        <v/>
      </c>
      <c r="E88" s="440" t="str">
        <f>IF(A88&gt;Start.listina!$K$7,"",IF(MIN(F88:K88)&gt;Start.listina!$Y$4,D88,MIN(F88:K88)))</f>
        <v/>
      </c>
      <c r="F88" s="333">
        <f ca="1">IF(TYPE(VLOOKUP(C88,Konečné_pořadí_1_16!$B$2:$D$17,3,0))&lt;4,VLOOKUP(C88,Konečné_pořadí_1_16!$B$2:$D$17,3,0),999)</f>
        <v>999</v>
      </c>
      <c r="G88" s="333">
        <f ca="1">IF(TYPE(VLOOKUP(C88,'KO64'!$D$4:$D$129,1,0))&lt;4,64,999)</f>
        <v>64</v>
      </c>
      <c r="H88" s="333">
        <f ca="1">IF(TYPE(VLOOKUP(C88,'KO32'!$D$4:$D$65,1,0))&lt;4,32,999)</f>
        <v>32</v>
      </c>
      <c r="I88" s="333">
        <f ca="1">IF(TYPE(VLOOKUP(C88,'KO16'!$D$4:$D$33,1,0))&lt;4,16,999)</f>
        <v>999</v>
      </c>
      <c r="J88" s="333">
        <f ca="1">IF(TYPE(VLOOKUP(C88,'KO8'!$D$4:$D$17,1,0))&lt;4,8,999)</f>
        <v>999</v>
      </c>
      <c r="K88" s="333">
        <f ca="1">IF(TYPE(VLOOKUP(C88,'KO4'!$D$4:$D$9,1,0))&lt;4,4,999)</f>
        <v>999</v>
      </c>
      <c r="M88" s="334">
        <v>86</v>
      </c>
      <c r="O88" s="333">
        <f t="shared" ca="1" si="42"/>
        <v>0</v>
      </c>
      <c r="P88" s="333">
        <f t="shared" ca="1" si="43"/>
        <v>0</v>
      </c>
      <c r="Q88" s="333">
        <f t="shared" ca="1" si="34"/>
        <v>2</v>
      </c>
      <c r="R88" s="333">
        <f t="shared" ca="1" si="35"/>
        <v>0</v>
      </c>
      <c r="S88" s="333">
        <f t="shared" ca="1" si="44"/>
        <v>16</v>
      </c>
      <c r="T88" s="333">
        <f t="shared" ca="1" si="45"/>
        <v>0</v>
      </c>
      <c r="U88" s="415">
        <f t="shared" si="59"/>
        <v>86</v>
      </c>
      <c r="V88" s="415" t="s">
        <v>2005</v>
      </c>
      <c r="W88" s="441" t="str">
        <f ca="1">IF($V88="","",CONCATENATE(TEXT($O88,"0"),IF(Start.listina!$Y$5="","",TEXT(500+$P88,"0000")),IF(Start.listina!$Y$6="","",CHOOSE(Start.listina!$Y$7,TEXT($Q88,"00"),CONCATENATE(TEXT($Q88,"00"),TEXT($S88,"000")), TEXT($R88,"00"))),TEXT(500+$P88,"0000"),IF(Start.listina!$Y$8="","",TEXT($T88,"0")),TEXT(999999*RAND(),"000000")))</f>
        <v/>
      </c>
      <c r="X88" s="417">
        <f t="shared" si="46"/>
        <v>86</v>
      </c>
      <c r="Y88" s="415">
        <f t="shared" ca="1" si="36"/>
        <v>0</v>
      </c>
      <c r="Z88" s="333">
        <f t="shared" ca="1" si="47"/>
        <v>51</v>
      </c>
      <c r="AA88" s="333" t="str">
        <f t="shared" ca="1" si="48"/>
        <v/>
      </c>
      <c r="AB88" s="333" t="str">
        <f t="shared" ca="1" si="49"/>
        <v/>
      </c>
      <c r="AC88" s="333" t="str">
        <f t="shared" ca="1" si="50"/>
        <v/>
      </c>
      <c r="AD88" s="333" t="str">
        <f t="shared" ca="1" si="51"/>
        <v/>
      </c>
      <c r="AE88" s="333" t="str">
        <f t="shared" ca="1" si="52"/>
        <v/>
      </c>
      <c r="AG88" s="333">
        <f ca="1">IF(TYPE(VLOOKUP($A88,'1.kolo'!$L$3:$L$66,1,0))&gt;3,VLOOKUP($A88,'1.kolo'!$K$3:$L$66,2,0),VLOOKUP($A88,'1.kolo'!$L$3:$O$66,4,0))</f>
        <v>51</v>
      </c>
      <c r="AH88" s="333">
        <f ca="1">IF(TYPE(VLOOKUP($A88,'1.kolo'!$L$3:$L$66,1,0))&gt;3,VLOOKUP($A88,'1.kolo'!$O$3:$Q$66,2,0),VLOOKUP($A88,'1.kolo'!$L$3:$N$66,2,0))</f>
        <v>0</v>
      </c>
      <c r="AI88" s="333">
        <f ca="1">IF(TYPE(VLOOKUP($A88,'1.kolo'!$L$3:$L$66,1,0))&gt;3,VLOOKUP($A88,'1.kolo'!$O$3:$Q$66,3,0),VLOOKUP($A88,'1.kolo'!$L$3:$N$66,3,0))</f>
        <v>0</v>
      </c>
      <c r="AJ88" s="333">
        <f t="shared" ca="1" si="53"/>
        <v>0</v>
      </c>
      <c r="AK88" s="333">
        <v>86</v>
      </c>
      <c r="AL88" s="442"/>
      <c r="AP88" s="333" t="str">
        <f ca="1">IF(TYPE(VLOOKUP($A88,'2.kolo'!$L$3:$L$66,1,0))&gt;3,IF(TYPE(VLOOKUP($A88,'2.kolo'!$K$3:$L$66,2,0))&gt;3,0,VLOOKUP($A88,'2.kolo'!$K$3:$L$66,2,0)),VLOOKUP($A88,'2.kolo'!$L$3:$O$66,4,0))</f>
        <v/>
      </c>
      <c r="AQ88" s="333">
        <f ca="1">IF(TYPE(VLOOKUP($A88,'2.kolo'!$L$3:$L$66,1,0))&gt;3,IF(TYPE(VLOOKUP($A88,'2.kolo'!$O$3:$Q$66,2,0))&gt;3,0,VLOOKUP($A88,'2.kolo'!$O$3:$Q$66,2,0)),VLOOKUP($A88,'2.kolo'!$L$3:$N$66,2,0))</f>
        <v>0</v>
      </c>
      <c r="AR88" s="333">
        <f ca="1">IF(TYPE(VLOOKUP($A88,'2.kolo'!$L$3:$L$66,1,0))&gt;3,IF(TYPE(VLOOKUP($A88,'2.kolo'!$O$3:$Q$66,3,0))&gt;3,0,VLOOKUP($A88,'2.kolo'!$O$3:$Q$66,3,0)),VLOOKUP($A88,'2.kolo'!$L$3:$N$66,3,0))</f>
        <v>0</v>
      </c>
      <c r="AS88" s="333">
        <f t="shared" ca="1" si="54"/>
        <v>0</v>
      </c>
      <c r="AT88" s="415" t="s">
        <v>2005</v>
      </c>
      <c r="AU88" s="442" t="str">
        <f ca="1">IF(AT88="","",CONCATENATE(TEXT($O88,"0"),IF(Start.listina!$Y$5="","",TEXT(500+$P88,"000")),TEXT(999999*RAND(),"000000")))</f>
        <v/>
      </c>
      <c r="AV88" s="333">
        <f t="shared" ca="1" si="37"/>
        <v>0</v>
      </c>
      <c r="AY88" s="333" t="str">
        <f ca="1">IF(TYPE(VLOOKUP($A88,'3.kolo'!$L$3:$L$66,1,0))&gt;3,IF(TYPE(VLOOKUP($A88,'3.kolo'!$K$3:$L$66,2,0))&gt;3,0,VLOOKUP($A88,'3.kolo'!$K$3:$L$66,2,0)),VLOOKUP($A88,'3.kolo'!$L$3:$O$66,4,0))</f>
        <v/>
      </c>
      <c r="AZ88" s="333">
        <f ca="1">IF(TYPE(VLOOKUP($A88,'3.kolo'!$L$3:$L$66,1,0))&gt;3,IF(TYPE(VLOOKUP($A88,'3.kolo'!$O$3:$Q$66,2,0))&gt;3,0,VLOOKUP($A88,'3.kolo'!$O$3:$Q$66,2,0)),VLOOKUP($A88,'3.kolo'!$L$3:$N$66,2,0))</f>
        <v>0</v>
      </c>
      <c r="BA88" s="333">
        <f ca="1">IF(TYPE(VLOOKUP($A88,'3.kolo'!$L$3:$L$66,1,0))&gt;3,IF(TYPE(VLOOKUP($A88,'3.kolo'!$O$3:$Q$66,3,0))&gt;3,0,VLOOKUP($A88,'3.kolo'!$O$3:$Q$66,3,0)),VLOOKUP($A88,'3.kolo'!$L$3:$N$66,3,0))</f>
        <v>0</v>
      </c>
      <c r="BB88" s="333">
        <f t="shared" ca="1" si="55"/>
        <v>0</v>
      </c>
      <c r="BC88" s="415" t="s">
        <v>2005</v>
      </c>
      <c r="BD88" s="442" t="str">
        <f ca="1">IF(BC88="","",CONCATENATE(TEXT($O88,"0"),IF(Start.listina!$Y$5="","",TEXT(500+$P88,"000")),TEXT(999999*RAND(),"000000")))</f>
        <v/>
      </c>
      <c r="BE88" s="333">
        <f t="shared" ca="1" si="38"/>
        <v>0</v>
      </c>
      <c r="BH88" s="333" t="str">
        <f ca="1">IF(TYPE(VLOOKUP($A88,'4.kolo'!$L$3:$L$66,1,0))&gt;3,IF(TYPE(VLOOKUP($A88,'4.kolo'!$K$3:$L$66,2,0))&gt;3,0,VLOOKUP($A88,'4.kolo'!$K$3:$L$66,2,0)),VLOOKUP($A88,'4.kolo'!$L$3:$O$66,4,0))</f>
        <v/>
      </c>
      <c r="BI88" s="333">
        <f ca="1">IF(TYPE(VLOOKUP($A88,'4.kolo'!$L$3:$L$66,1,0))&gt;3,IF(TYPE(VLOOKUP($A88,'4.kolo'!$O$3:$Q$66,2,0))&gt;3,0,VLOOKUP($A88,'4.kolo'!$O$3:$Q$66,2,0)),VLOOKUP($A88,'4.kolo'!$L$3:$N$66,2,0))</f>
        <v>0</v>
      </c>
      <c r="BJ88" s="333">
        <f ca="1">IF(TYPE(VLOOKUP($A88,'4.kolo'!$L$3:$L$66,1,0))&gt;3,IF(TYPE(VLOOKUP($A88,'4.kolo'!$O$3:$Q$66,3,0))&gt;3,0,VLOOKUP($A88,'4.kolo'!$O$3:$Q$66,3,0)),VLOOKUP($A88,'4.kolo'!$L$3:$N$66,3,0))</f>
        <v>0</v>
      </c>
      <c r="BK88" s="333">
        <f t="shared" ca="1" si="56"/>
        <v>0</v>
      </c>
      <c r="BL88" s="415" t="s">
        <v>2005</v>
      </c>
      <c r="BM88" s="442" t="str">
        <f ca="1">IF(BL88="","",CONCATENATE(TEXT($O88,"0"),IF(Start.listina!$Y$5="","",TEXT(500+$P88,"000")),TEXT(999999*RAND(),"000000")))</f>
        <v/>
      </c>
      <c r="BN88" s="333">
        <f t="shared" ca="1" si="39"/>
        <v>0</v>
      </c>
      <c r="BQ88" s="333" t="str">
        <f ca="1">IF(TYPE(VLOOKUP($A88,'5.kolo'!$L$3:$L$66,1,0))&gt;3,IF(TYPE(VLOOKUP($A88,'5.kolo'!$K$3:$L$66,2,0))&gt;3,0,VLOOKUP($A88,'5.kolo'!$K$3:$L$66,2,0)),VLOOKUP($A88,'5.kolo'!$L$3:$O$66,4,0))</f>
        <v/>
      </c>
      <c r="BR88" s="333">
        <f ca="1">IF(TYPE(VLOOKUP($A88,'5.kolo'!$L$3:$L$66,1,0))&gt;3,IF(TYPE(VLOOKUP($A88,'5.kolo'!$O$3:$Q$66,2,0))&gt;3,0,VLOOKUP($A88,'5.kolo'!$O$3:$Q$66,2,0)),VLOOKUP($A88,'5.kolo'!$L$3:$N$66,2,0))</f>
        <v>0</v>
      </c>
      <c r="BS88" s="333">
        <f ca="1">IF(TYPE(VLOOKUP($A88,'5.kolo'!$L$3:$L$66,1,0))&gt;3,IF(TYPE(VLOOKUP($A88,'5.kolo'!$O$3:$Q$66,3,0))&gt;3,0,VLOOKUP($A88,'5.kolo'!$O$3:$Q$66,3,0)),VLOOKUP($A88,'5.kolo'!$L$3:$N$66,3,0))</f>
        <v>0</v>
      </c>
      <c r="BT88" s="333">
        <f t="shared" ca="1" si="57"/>
        <v>0</v>
      </c>
      <c r="BU88" s="415"/>
      <c r="BV88" s="442" t="str">
        <f ca="1">IF(BU88="","",CONCATENATE(TEXT($O88,"0"),IF(Start.listina!$Y$5="","",TEXT(500+$P88,"000")),TEXT(999999*RAND(),"000000")))</f>
        <v/>
      </c>
      <c r="BW88" s="333">
        <f t="shared" ca="1" si="40"/>
        <v>0</v>
      </c>
      <c r="BZ88" s="333" t="str">
        <f ca="1">IF(TYPE(VLOOKUP($A88,'6.kolo'!$L$3:$L$66,1,0))&gt;3,IF(TYPE(VLOOKUP($A88,'6.kolo'!$K$3:$L$66,2,0))&gt;3,0,VLOOKUP($A88,'6.kolo'!$K$3:$L$66,2,0)),VLOOKUP($A88,'6.kolo'!$L$3:$O$66,4,0))</f>
        <v/>
      </c>
      <c r="CA88" s="333">
        <f ca="1">IF(TYPE(VLOOKUP($A88,'6.kolo'!$L$3:$L$66,1,0))&gt;3,IF(TYPE(VLOOKUP($A88,'6.kolo'!$O$3:$Q$66,2,0))&gt;3,0,VLOOKUP($A88,'6.kolo'!$O$3:$Q$66,2,0)),VLOOKUP($A88,'6.kolo'!$L$3:$N$66,2,0))</f>
        <v>0</v>
      </c>
      <c r="CB88" s="333">
        <f ca="1">IF(TYPE(VLOOKUP($A88,'6.kolo'!$L$3:$L$66,1,0))&gt;3,IF(TYPE(VLOOKUP($A88,'6.kolo'!$O$3:$Q$66,3,0))&gt;3,0,VLOOKUP($A88,'6.kolo'!$O$3:$Q$66,3,0)),VLOOKUP($A88,'6.kolo'!$L$3:$N$66,3,0))</f>
        <v>0</v>
      </c>
      <c r="CC88" s="333">
        <f t="shared" ca="1" si="58"/>
        <v>0</v>
      </c>
      <c r="CD88" s="415"/>
      <c r="CE88" s="442" t="str">
        <f ca="1">IF(CD88="","",CONCATENATE(TEXT($O88,"0"),IF(Start.listina!$Y$5="","",TEXT(500+$P88,"000")),TEXT(999999*RAND(),"000000")))</f>
        <v/>
      </c>
      <c r="CF88" s="333">
        <f t="shared" ca="1" si="41"/>
        <v>0</v>
      </c>
    </row>
    <row r="89" spans="1:84" x14ac:dyDescent="0.25">
      <c r="A89" s="333" t="str">
        <f>IF(OR(Start.listina!H97&gt;Start.listina!$K$7,Start.listina!G97=TRUE),"",Start.listina!H97)</f>
        <v/>
      </c>
      <c r="B89" s="333" t="str">
        <f>IF($A89&gt;Start.listina!$K$7,"",INT(($A89-1)/Start.listina!$O$7)+1)</f>
        <v/>
      </c>
      <c r="C89" s="439" t="str">
        <f>IF(OR(Start.listina!H97&gt;Start.listina!$K$7,Start.listina!G97=TRUE)," - ",Start.listina!AL97)</f>
        <v xml:space="preserve"> - </v>
      </c>
      <c r="D89" s="333" t="str">
        <f>IF(OR(A89&gt;Start.listina!$K$7,TYPE(VLOOKUP(A89,$V$3:$X$130,3,0))&gt;3),"",VLOOKUP(A89,$V$3:$X$130,3,0))</f>
        <v/>
      </c>
      <c r="E89" s="440" t="str">
        <f>IF(A89&gt;Start.listina!$K$7,"",IF(MIN(F89:K89)&gt;Start.listina!$Y$4,D89,MIN(F89:K89)))</f>
        <v/>
      </c>
      <c r="F89" s="333">
        <f ca="1">IF(TYPE(VLOOKUP(C89,Konečné_pořadí_1_16!$B$2:$D$17,3,0))&lt;4,VLOOKUP(C89,Konečné_pořadí_1_16!$B$2:$D$17,3,0),999)</f>
        <v>999</v>
      </c>
      <c r="G89" s="333">
        <f ca="1">IF(TYPE(VLOOKUP(C89,'KO64'!$D$4:$D$129,1,0))&lt;4,64,999)</f>
        <v>64</v>
      </c>
      <c r="H89" s="333">
        <f ca="1">IF(TYPE(VLOOKUP(C89,'KO32'!$D$4:$D$65,1,0))&lt;4,32,999)</f>
        <v>32</v>
      </c>
      <c r="I89" s="333">
        <f ca="1">IF(TYPE(VLOOKUP(C89,'KO16'!$D$4:$D$33,1,0))&lt;4,16,999)</f>
        <v>999</v>
      </c>
      <c r="J89" s="333">
        <f ca="1">IF(TYPE(VLOOKUP(C89,'KO8'!$D$4:$D$17,1,0))&lt;4,8,999)</f>
        <v>999</v>
      </c>
      <c r="K89" s="333">
        <f ca="1">IF(TYPE(VLOOKUP(C89,'KO4'!$D$4:$D$9,1,0))&lt;4,4,999)</f>
        <v>999</v>
      </c>
      <c r="M89" s="334">
        <v>87</v>
      </c>
      <c r="O89" s="333">
        <f t="shared" ca="1" si="42"/>
        <v>0</v>
      </c>
      <c r="P89" s="333">
        <f t="shared" ca="1" si="43"/>
        <v>0</v>
      </c>
      <c r="Q89" s="333">
        <f t="shared" ca="1" si="34"/>
        <v>2</v>
      </c>
      <c r="R89" s="333">
        <f t="shared" ca="1" si="35"/>
        <v>0</v>
      </c>
      <c r="S89" s="333">
        <f t="shared" ca="1" si="44"/>
        <v>16</v>
      </c>
      <c r="T89" s="333">
        <f t="shared" ca="1" si="45"/>
        <v>0</v>
      </c>
      <c r="U89" s="415">
        <f t="shared" si="59"/>
        <v>87</v>
      </c>
      <c r="V89" s="415" t="s">
        <v>2005</v>
      </c>
      <c r="W89" s="441" t="str">
        <f ca="1">IF($V89="","",CONCATENATE(TEXT($O89,"0"),IF(Start.listina!$Y$5="","",TEXT(500+$P89,"0000")),IF(Start.listina!$Y$6="","",CHOOSE(Start.listina!$Y$7,TEXT($Q89,"00"),CONCATENATE(TEXT($Q89,"00"),TEXT($S89,"000")), TEXT($R89,"00"))),TEXT(500+$P89,"0000"),IF(Start.listina!$Y$8="","",TEXT($T89,"0")),TEXT(999999*RAND(),"000000")))</f>
        <v/>
      </c>
      <c r="X89" s="417">
        <f t="shared" si="46"/>
        <v>87</v>
      </c>
      <c r="Y89" s="415">
        <f t="shared" ca="1" si="36"/>
        <v>0</v>
      </c>
      <c r="Z89" s="333">
        <f t="shared" ca="1" si="47"/>
        <v>51</v>
      </c>
      <c r="AA89" s="333" t="str">
        <f t="shared" ca="1" si="48"/>
        <v/>
      </c>
      <c r="AB89" s="333" t="str">
        <f t="shared" ca="1" si="49"/>
        <v/>
      </c>
      <c r="AC89" s="333" t="str">
        <f t="shared" ca="1" si="50"/>
        <v/>
      </c>
      <c r="AD89" s="333" t="str">
        <f t="shared" ca="1" si="51"/>
        <v/>
      </c>
      <c r="AE89" s="333" t="str">
        <f t="shared" ca="1" si="52"/>
        <v/>
      </c>
      <c r="AG89" s="333">
        <f ca="1">IF(TYPE(VLOOKUP($A89,'1.kolo'!$L$3:$L$66,1,0))&gt;3,VLOOKUP($A89,'1.kolo'!$K$3:$L$66,2,0),VLOOKUP($A89,'1.kolo'!$L$3:$O$66,4,0))</f>
        <v>51</v>
      </c>
      <c r="AH89" s="333">
        <f ca="1">IF(TYPE(VLOOKUP($A89,'1.kolo'!$L$3:$L$66,1,0))&gt;3,VLOOKUP($A89,'1.kolo'!$O$3:$Q$66,2,0),VLOOKUP($A89,'1.kolo'!$L$3:$N$66,2,0))</f>
        <v>0</v>
      </c>
      <c r="AI89" s="333">
        <f ca="1">IF(TYPE(VLOOKUP($A89,'1.kolo'!$L$3:$L$66,1,0))&gt;3,VLOOKUP($A89,'1.kolo'!$O$3:$Q$66,3,0),VLOOKUP($A89,'1.kolo'!$L$3:$N$66,3,0))</f>
        <v>0</v>
      </c>
      <c r="AJ89" s="333">
        <f t="shared" ca="1" si="53"/>
        <v>0</v>
      </c>
      <c r="AK89" s="333">
        <v>87</v>
      </c>
      <c r="AL89" s="442"/>
      <c r="AP89" s="333" t="str">
        <f ca="1">IF(TYPE(VLOOKUP($A89,'2.kolo'!$L$3:$L$66,1,0))&gt;3,IF(TYPE(VLOOKUP($A89,'2.kolo'!$K$3:$L$66,2,0))&gt;3,0,VLOOKUP($A89,'2.kolo'!$K$3:$L$66,2,0)),VLOOKUP($A89,'2.kolo'!$L$3:$O$66,4,0))</f>
        <v/>
      </c>
      <c r="AQ89" s="333">
        <f ca="1">IF(TYPE(VLOOKUP($A89,'2.kolo'!$L$3:$L$66,1,0))&gt;3,IF(TYPE(VLOOKUP($A89,'2.kolo'!$O$3:$Q$66,2,0))&gt;3,0,VLOOKUP($A89,'2.kolo'!$O$3:$Q$66,2,0)),VLOOKUP($A89,'2.kolo'!$L$3:$N$66,2,0))</f>
        <v>0</v>
      </c>
      <c r="AR89" s="333">
        <f ca="1">IF(TYPE(VLOOKUP($A89,'2.kolo'!$L$3:$L$66,1,0))&gt;3,IF(TYPE(VLOOKUP($A89,'2.kolo'!$O$3:$Q$66,3,0))&gt;3,0,VLOOKUP($A89,'2.kolo'!$O$3:$Q$66,3,0)),VLOOKUP($A89,'2.kolo'!$L$3:$N$66,3,0))</f>
        <v>0</v>
      </c>
      <c r="AS89" s="333">
        <f t="shared" ca="1" si="54"/>
        <v>0</v>
      </c>
      <c r="AT89" s="415" t="s">
        <v>2005</v>
      </c>
      <c r="AU89" s="442" t="str">
        <f ca="1">IF(AT89="","",CONCATENATE(TEXT($O89,"0"),IF(Start.listina!$Y$5="","",TEXT(500+$P89,"000")),TEXT(999999*RAND(),"000000")))</f>
        <v/>
      </c>
      <c r="AV89" s="333">
        <f t="shared" ca="1" si="37"/>
        <v>0</v>
      </c>
      <c r="AY89" s="333" t="str">
        <f ca="1">IF(TYPE(VLOOKUP($A89,'3.kolo'!$L$3:$L$66,1,0))&gt;3,IF(TYPE(VLOOKUP($A89,'3.kolo'!$K$3:$L$66,2,0))&gt;3,0,VLOOKUP($A89,'3.kolo'!$K$3:$L$66,2,0)),VLOOKUP($A89,'3.kolo'!$L$3:$O$66,4,0))</f>
        <v/>
      </c>
      <c r="AZ89" s="333">
        <f ca="1">IF(TYPE(VLOOKUP($A89,'3.kolo'!$L$3:$L$66,1,0))&gt;3,IF(TYPE(VLOOKUP($A89,'3.kolo'!$O$3:$Q$66,2,0))&gt;3,0,VLOOKUP($A89,'3.kolo'!$O$3:$Q$66,2,0)),VLOOKUP($A89,'3.kolo'!$L$3:$N$66,2,0))</f>
        <v>0</v>
      </c>
      <c r="BA89" s="333">
        <f ca="1">IF(TYPE(VLOOKUP($A89,'3.kolo'!$L$3:$L$66,1,0))&gt;3,IF(TYPE(VLOOKUP($A89,'3.kolo'!$O$3:$Q$66,3,0))&gt;3,0,VLOOKUP($A89,'3.kolo'!$O$3:$Q$66,3,0)),VLOOKUP($A89,'3.kolo'!$L$3:$N$66,3,0))</f>
        <v>0</v>
      </c>
      <c r="BB89" s="333">
        <f t="shared" ca="1" si="55"/>
        <v>0</v>
      </c>
      <c r="BC89" s="415" t="s">
        <v>2005</v>
      </c>
      <c r="BD89" s="442" t="str">
        <f ca="1">IF(BC89="","",CONCATENATE(TEXT($O89,"0"),IF(Start.listina!$Y$5="","",TEXT(500+$P89,"000")),TEXT(999999*RAND(),"000000")))</f>
        <v/>
      </c>
      <c r="BE89" s="333">
        <f t="shared" ca="1" si="38"/>
        <v>0</v>
      </c>
      <c r="BH89" s="333" t="str">
        <f ca="1">IF(TYPE(VLOOKUP($A89,'4.kolo'!$L$3:$L$66,1,0))&gt;3,IF(TYPE(VLOOKUP($A89,'4.kolo'!$K$3:$L$66,2,0))&gt;3,0,VLOOKUP($A89,'4.kolo'!$K$3:$L$66,2,0)),VLOOKUP($A89,'4.kolo'!$L$3:$O$66,4,0))</f>
        <v/>
      </c>
      <c r="BI89" s="333">
        <f ca="1">IF(TYPE(VLOOKUP($A89,'4.kolo'!$L$3:$L$66,1,0))&gt;3,IF(TYPE(VLOOKUP($A89,'4.kolo'!$O$3:$Q$66,2,0))&gt;3,0,VLOOKUP($A89,'4.kolo'!$O$3:$Q$66,2,0)),VLOOKUP($A89,'4.kolo'!$L$3:$N$66,2,0))</f>
        <v>0</v>
      </c>
      <c r="BJ89" s="333">
        <f ca="1">IF(TYPE(VLOOKUP($A89,'4.kolo'!$L$3:$L$66,1,0))&gt;3,IF(TYPE(VLOOKUP($A89,'4.kolo'!$O$3:$Q$66,3,0))&gt;3,0,VLOOKUP($A89,'4.kolo'!$O$3:$Q$66,3,0)),VLOOKUP($A89,'4.kolo'!$L$3:$N$66,3,0))</f>
        <v>0</v>
      </c>
      <c r="BK89" s="333">
        <f t="shared" ca="1" si="56"/>
        <v>0</v>
      </c>
      <c r="BL89" s="415" t="s">
        <v>2005</v>
      </c>
      <c r="BM89" s="442" t="str">
        <f ca="1">IF(BL89="","",CONCATENATE(TEXT($O89,"0"),IF(Start.listina!$Y$5="","",TEXT(500+$P89,"000")),TEXT(999999*RAND(),"000000")))</f>
        <v/>
      </c>
      <c r="BN89" s="333">
        <f t="shared" ca="1" si="39"/>
        <v>0</v>
      </c>
      <c r="BQ89" s="333" t="str">
        <f ca="1">IF(TYPE(VLOOKUP($A89,'5.kolo'!$L$3:$L$66,1,0))&gt;3,IF(TYPE(VLOOKUP($A89,'5.kolo'!$K$3:$L$66,2,0))&gt;3,0,VLOOKUP($A89,'5.kolo'!$K$3:$L$66,2,0)),VLOOKUP($A89,'5.kolo'!$L$3:$O$66,4,0))</f>
        <v/>
      </c>
      <c r="BR89" s="333">
        <f ca="1">IF(TYPE(VLOOKUP($A89,'5.kolo'!$L$3:$L$66,1,0))&gt;3,IF(TYPE(VLOOKUP($A89,'5.kolo'!$O$3:$Q$66,2,0))&gt;3,0,VLOOKUP($A89,'5.kolo'!$O$3:$Q$66,2,0)),VLOOKUP($A89,'5.kolo'!$L$3:$N$66,2,0))</f>
        <v>0</v>
      </c>
      <c r="BS89" s="333">
        <f ca="1">IF(TYPE(VLOOKUP($A89,'5.kolo'!$L$3:$L$66,1,0))&gt;3,IF(TYPE(VLOOKUP($A89,'5.kolo'!$O$3:$Q$66,3,0))&gt;3,0,VLOOKUP($A89,'5.kolo'!$O$3:$Q$66,3,0)),VLOOKUP($A89,'5.kolo'!$L$3:$N$66,3,0))</f>
        <v>0</v>
      </c>
      <c r="BT89" s="333">
        <f t="shared" ca="1" si="57"/>
        <v>0</v>
      </c>
      <c r="BU89" s="415"/>
      <c r="BV89" s="442" t="str">
        <f ca="1">IF(BU89="","",CONCATENATE(TEXT($O89,"0"),IF(Start.listina!$Y$5="","",TEXT(500+$P89,"000")),TEXT(999999*RAND(),"000000")))</f>
        <v/>
      </c>
      <c r="BW89" s="333">
        <f t="shared" ca="1" si="40"/>
        <v>0</v>
      </c>
      <c r="BZ89" s="333" t="str">
        <f ca="1">IF(TYPE(VLOOKUP($A89,'6.kolo'!$L$3:$L$66,1,0))&gt;3,IF(TYPE(VLOOKUP($A89,'6.kolo'!$K$3:$L$66,2,0))&gt;3,0,VLOOKUP($A89,'6.kolo'!$K$3:$L$66,2,0)),VLOOKUP($A89,'6.kolo'!$L$3:$O$66,4,0))</f>
        <v/>
      </c>
      <c r="CA89" s="333">
        <f ca="1">IF(TYPE(VLOOKUP($A89,'6.kolo'!$L$3:$L$66,1,0))&gt;3,IF(TYPE(VLOOKUP($A89,'6.kolo'!$O$3:$Q$66,2,0))&gt;3,0,VLOOKUP($A89,'6.kolo'!$O$3:$Q$66,2,0)),VLOOKUP($A89,'6.kolo'!$L$3:$N$66,2,0))</f>
        <v>0</v>
      </c>
      <c r="CB89" s="333">
        <f ca="1">IF(TYPE(VLOOKUP($A89,'6.kolo'!$L$3:$L$66,1,0))&gt;3,IF(TYPE(VLOOKUP($A89,'6.kolo'!$O$3:$Q$66,3,0))&gt;3,0,VLOOKUP($A89,'6.kolo'!$O$3:$Q$66,3,0)),VLOOKUP($A89,'6.kolo'!$L$3:$N$66,3,0))</f>
        <v>0</v>
      </c>
      <c r="CC89" s="333">
        <f t="shared" ca="1" si="58"/>
        <v>0</v>
      </c>
      <c r="CD89" s="415"/>
      <c r="CE89" s="442" t="str">
        <f ca="1">IF(CD89="","",CONCATENATE(TEXT($O89,"0"),IF(Start.listina!$Y$5="","",TEXT(500+$P89,"000")),TEXT(999999*RAND(),"000000")))</f>
        <v/>
      </c>
      <c r="CF89" s="333">
        <f t="shared" ca="1" si="41"/>
        <v>0</v>
      </c>
    </row>
    <row r="90" spans="1:84" x14ac:dyDescent="0.25">
      <c r="A90" s="333" t="str">
        <f>IF(OR(Start.listina!H98&gt;Start.listina!$K$7,Start.listina!G98=TRUE),"",Start.listina!H98)</f>
        <v/>
      </c>
      <c r="B90" s="333" t="str">
        <f>IF($A90&gt;Start.listina!$K$7,"",INT(($A90-1)/Start.listina!$O$7)+1)</f>
        <v/>
      </c>
      <c r="C90" s="439" t="str">
        <f>IF(OR(Start.listina!H98&gt;Start.listina!$K$7,Start.listina!G98=TRUE)," - ",Start.listina!AL98)</f>
        <v xml:space="preserve"> - </v>
      </c>
      <c r="D90" s="333" t="str">
        <f>IF(OR(A90&gt;Start.listina!$K$7,TYPE(VLOOKUP(A90,$V$3:$X$130,3,0))&gt;3),"",VLOOKUP(A90,$V$3:$X$130,3,0))</f>
        <v/>
      </c>
      <c r="E90" s="440" t="str">
        <f>IF(A90&gt;Start.listina!$K$7,"",IF(MIN(F90:K90)&gt;Start.listina!$Y$4,D90,MIN(F90:K90)))</f>
        <v/>
      </c>
      <c r="F90" s="333">
        <f ca="1">IF(TYPE(VLOOKUP(C90,Konečné_pořadí_1_16!$B$2:$D$17,3,0))&lt;4,VLOOKUP(C90,Konečné_pořadí_1_16!$B$2:$D$17,3,0),999)</f>
        <v>999</v>
      </c>
      <c r="G90" s="333">
        <f ca="1">IF(TYPE(VLOOKUP(C90,'KO64'!$D$4:$D$129,1,0))&lt;4,64,999)</f>
        <v>64</v>
      </c>
      <c r="H90" s="333">
        <f ca="1">IF(TYPE(VLOOKUP(C90,'KO32'!$D$4:$D$65,1,0))&lt;4,32,999)</f>
        <v>32</v>
      </c>
      <c r="I90" s="333">
        <f ca="1">IF(TYPE(VLOOKUP(C90,'KO16'!$D$4:$D$33,1,0))&lt;4,16,999)</f>
        <v>999</v>
      </c>
      <c r="J90" s="333">
        <f ca="1">IF(TYPE(VLOOKUP(C90,'KO8'!$D$4:$D$17,1,0))&lt;4,8,999)</f>
        <v>999</v>
      </c>
      <c r="K90" s="333">
        <f ca="1">IF(TYPE(VLOOKUP(C90,'KO4'!$D$4:$D$9,1,0))&lt;4,4,999)</f>
        <v>999</v>
      </c>
      <c r="M90" s="334">
        <v>88</v>
      </c>
      <c r="O90" s="333">
        <f t="shared" ca="1" si="42"/>
        <v>0</v>
      </c>
      <c r="P90" s="333">
        <f t="shared" ca="1" si="43"/>
        <v>0</v>
      </c>
      <c r="Q90" s="333">
        <f t="shared" ca="1" si="34"/>
        <v>2</v>
      </c>
      <c r="R90" s="333">
        <f t="shared" ca="1" si="35"/>
        <v>0</v>
      </c>
      <c r="S90" s="333">
        <f t="shared" ca="1" si="44"/>
        <v>16</v>
      </c>
      <c r="T90" s="333">
        <f t="shared" ca="1" si="45"/>
        <v>0</v>
      </c>
      <c r="U90" s="415">
        <f t="shared" si="59"/>
        <v>88</v>
      </c>
      <c r="V90" s="415" t="s">
        <v>2005</v>
      </c>
      <c r="W90" s="441" t="str">
        <f ca="1">IF($V90="","",CONCATENATE(TEXT($O90,"0"),IF(Start.listina!$Y$5="","",TEXT(500+$P90,"0000")),IF(Start.listina!$Y$6="","",CHOOSE(Start.listina!$Y$7,TEXT($Q90,"00"),CONCATENATE(TEXT($Q90,"00"),TEXT($S90,"000")), TEXT($R90,"00"))),TEXT(500+$P90,"0000"),IF(Start.listina!$Y$8="","",TEXT($T90,"0")),TEXT(999999*RAND(),"000000")))</f>
        <v/>
      </c>
      <c r="X90" s="417">
        <f t="shared" si="46"/>
        <v>88</v>
      </c>
      <c r="Y90" s="415">
        <f t="shared" ca="1" si="36"/>
        <v>0</v>
      </c>
      <c r="Z90" s="333">
        <f t="shared" ca="1" si="47"/>
        <v>51</v>
      </c>
      <c r="AA90" s="333" t="str">
        <f t="shared" ca="1" si="48"/>
        <v/>
      </c>
      <c r="AB90" s="333" t="str">
        <f t="shared" ca="1" si="49"/>
        <v/>
      </c>
      <c r="AC90" s="333" t="str">
        <f t="shared" ca="1" si="50"/>
        <v/>
      </c>
      <c r="AD90" s="333" t="str">
        <f t="shared" ca="1" si="51"/>
        <v/>
      </c>
      <c r="AE90" s="333" t="str">
        <f t="shared" ca="1" si="52"/>
        <v/>
      </c>
      <c r="AG90" s="333">
        <f ca="1">IF(TYPE(VLOOKUP($A90,'1.kolo'!$L$3:$L$66,1,0))&gt;3,VLOOKUP($A90,'1.kolo'!$K$3:$L$66,2,0),VLOOKUP($A90,'1.kolo'!$L$3:$O$66,4,0))</f>
        <v>51</v>
      </c>
      <c r="AH90" s="333">
        <f ca="1">IF(TYPE(VLOOKUP($A90,'1.kolo'!$L$3:$L$66,1,0))&gt;3,VLOOKUP($A90,'1.kolo'!$O$3:$Q$66,2,0),VLOOKUP($A90,'1.kolo'!$L$3:$N$66,2,0))</f>
        <v>0</v>
      </c>
      <c r="AI90" s="333">
        <f ca="1">IF(TYPE(VLOOKUP($A90,'1.kolo'!$L$3:$L$66,1,0))&gt;3,VLOOKUP($A90,'1.kolo'!$O$3:$Q$66,3,0),VLOOKUP($A90,'1.kolo'!$L$3:$N$66,3,0))</f>
        <v>0</v>
      </c>
      <c r="AJ90" s="333">
        <f t="shared" ca="1" si="53"/>
        <v>0</v>
      </c>
      <c r="AK90" s="333">
        <v>88</v>
      </c>
      <c r="AL90" s="442"/>
      <c r="AP90" s="333" t="str">
        <f ca="1">IF(TYPE(VLOOKUP($A90,'2.kolo'!$L$3:$L$66,1,0))&gt;3,IF(TYPE(VLOOKUP($A90,'2.kolo'!$K$3:$L$66,2,0))&gt;3,0,VLOOKUP($A90,'2.kolo'!$K$3:$L$66,2,0)),VLOOKUP($A90,'2.kolo'!$L$3:$O$66,4,0))</f>
        <v/>
      </c>
      <c r="AQ90" s="333">
        <f ca="1">IF(TYPE(VLOOKUP($A90,'2.kolo'!$L$3:$L$66,1,0))&gt;3,IF(TYPE(VLOOKUP($A90,'2.kolo'!$O$3:$Q$66,2,0))&gt;3,0,VLOOKUP($A90,'2.kolo'!$O$3:$Q$66,2,0)),VLOOKUP($A90,'2.kolo'!$L$3:$N$66,2,0))</f>
        <v>0</v>
      </c>
      <c r="AR90" s="333">
        <f ca="1">IF(TYPE(VLOOKUP($A90,'2.kolo'!$L$3:$L$66,1,0))&gt;3,IF(TYPE(VLOOKUP($A90,'2.kolo'!$O$3:$Q$66,3,0))&gt;3,0,VLOOKUP($A90,'2.kolo'!$O$3:$Q$66,3,0)),VLOOKUP($A90,'2.kolo'!$L$3:$N$66,3,0))</f>
        <v>0</v>
      </c>
      <c r="AS90" s="333">
        <f t="shared" ca="1" si="54"/>
        <v>0</v>
      </c>
      <c r="AT90" s="415" t="s">
        <v>2005</v>
      </c>
      <c r="AU90" s="442" t="str">
        <f ca="1">IF(AT90="","",CONCATENATE(TEXT($O90,"0"),IF(Start.listina!$Y$5="","",TEXT(500+$P90,"000")),TEXT(999999*RAND(),"000000")))</f>
        <v/>
      </c>
      <c r="AV90" s="333">
        <f t="shared" ca="1" si="37"/>
        <v>0</v>
      </c>
      <c r="AY90" s="333" t="str">
        <f ca="1">IF(TYPE(VLOOKUP($A90,'3.kolo'!$L$3:$L$66,1,0))&gt;3,IF(TYPE(VLOOKUP($A90,'3.kolo'!$K$3:$L$66,2,0))&gt;3,0,VLOOKUP($A90,'3.kolo'!$K$3:$L$66,2,0)),VLOOKUP($A90,'3.kolo'!$L$3:$O$66,4,0))</f>
        <v/>
      </c>
      <c r="AZ90" s="333">
        <f ca="1">IF(TYPE(VLOOKUP($A90,'3.kolo'!$L$3:$L$66,1,0))&gt;3,IF(TYPE(VLOOKUP($A90,'3.kolo'!$O$3:$Q$66,2,0))&gt;3,0,VLOOKUP($A90,'3.kolo'!$O$3:$Q$66,2,0)),VLOOKUP($A90,'3.kolo'!$L$3:$N$66,2,0))</f>
        <v>0</v>
      </c>
      <c r="BA90" s="333">
        <f ca="1">IF(TYPE(VLOOKUP($A90,'3.kolo'!$L$3:$L$66,1,0))&gt;3,IF(TYPE(VLOOKUP($A90,'3.kolo'!$O$3:$Q$66,3,0))&gt;3,0,VLOOKUP($A90,'3.kolo'!$O$3:$Q$66,3,0)),VLOOKUP($A90,'3.kolo'!$L$3:$N$66,3,0))</f>
        <v>0</v>
      </c>
      <c r="BB90" s="333">
        <f t="shared" ca="1" si="55"/>
        <v>0</v>
      </c>
      <c r="BC90" s="415" t="s">
        <v>2005</v>
      </c>
      <c r="BD90" s="442" t="str">
        <f ca="1">IF(BC90="","",CONCATENATE(TEXT($O90,"0"),IF(Start.listina!$Y$5="","",TEXT(500+$P90,"000")),TEXT(999999*RAND(),"000000")))</f>
        <v/>
      </c>
      <c r="BE90" s="333">
        <f t="shared" ca="1" si="38"/>
        <v>0</v>
      </c>
      <c r="BH90" s="333" t="str">
        <f ca="1">IF(TYPE(VLOOKUP($A90,'4.kolo'!$L$3:$L$66,1,0))&gt;3,IF(TYPE(VLOOKUP($A90,'4.kolo'!$K$3:$L$66,2,0))&gt;3,0,VLOOKUP($A90,'4.kolo'!$K$3:$L$66,2,0)),VLOOKUP($A90,'4.kolo'!$L$3:$O$66,4,0))</f>
        <v/>
      </c>
      <c r="BI90" s="333">
        <f ca="1">IF(TYPE(VLOOKUP($A90,'4.kolo'!$L$3:$L$66,1,0))&gt;3,IF(TYPE(VLOOKUP($A90,'4.kolo'!$O$3:$Q$66,2,0))&gt;3,0,VLOOKUP($A90,'4.kolo'!$O$3:$Q$66,2,0)),VLOOKUP($A90,'4.kolo'!$L$3:$N$66,2,0))</f>
        <v>0</v>
      </c>
      <c r="BJ90" s="333">
        <f ca="1">IF(TYPE(VLOOKUP($A90,'4.kolo'!$L$3:$L$66,1,0))&gt;3,IF(TYPE(VLOOKUP($A90,'4.kolo'!$O$3:$Q$66,3,0))&gt;3,0,VLOOKUP($A90,'4.kolo'!$O$3:$Q$66,3,0)),VLOOKUP($A90,'4.kolo'!$L$3:$N$66,3,0))</f>
        <v>0</v>
      </c>
      <c r="BK90" s="333">
        <f t="shared" ca="1" si="56"/>
        <v>0</v>
      </c>
      <c r="BL90" s="415" t="s">
        <v>2005</v>
      </c>
      <c r="BM90" s="442" t="str">
        <f ca="1">IF(BL90="","",CONCATENATE(TEXT($O90,"0"),IF(Start.listina!$Y$5="","",TEXT(500+$P90,"000")),TEXT(999999*RAND(),"000000")))</f>
        <v/>
      </c>
      <c r="BN90" s="333">
        <f t="shared" ca="1" si="39"/>
        <v>0</v>
      </c>
      <c r="BQ90" s="333" t="str">
        <f ca="1">IF(TYPE(VLOOKUP($A90,'5.kolo'!$L$3:$L$66,1,0))&gt;3,IF(TYPE(VLOOKUP($A90,'5.kolo'!$K$3:$L$66,2,0))&gt;3,0,VLOOKUP($A90,'5.kolo'!$K$3:$L$66,2,0)),VLOOKUP($A90,'5.kolo'!$L$3:$O$66,4,0))</f>
        <v/>
      </c>
      <c r="BR90" s="333">
        <f ca="1">IF(TYPE(VLOOKUP($A90,'5.kolo'!$L$3:$L$66,1,0))&gt;3,IF(TYPE(VLOOKUP($A90,'5.kolo'!$O$3:$Q$66,2,0))&gt;3,0,VLOOKUP($A90,'5.kolo'!$O$3:$Q$66,2,0)),VLOOKUP($A90,'5.kolo'!$L$3:$N$66,2,0))</f>
        <v>0</v>
      </c>
      <c r="BS90" s="333">
        <f ca="1">IF(TYPE(VLOOKUP($A90,'5.kolo'!$L$3:$L$66,1,0))&gt;3,IF(TYPE(VLOOKUP($A90,'5.kolo'!$O$3:$Q$66,3,0))&gt;3,0,VLOOKUP($A90,'5.kolo'!$O$3:$Q$66,3,0)),VLOOKUP($A90,'5.kolo'!$L$3:$N$66,3,0))</f>
        <v>0</v>
      </c>
      <c r="BT90" s="333">
        <f t="shared" ca="1" si="57"/>
        <v>0</v>
      </c>
      <c r="BU90" s="415"/>
      <c r="BV90" s="442" t="str">
        <f ca="1">IF(BU90="","",CONCATENATE(TEXT($O90,"0"),IF(Start.listina!$Y$5="","",TEXT(500+$P90,"000")),TEXT(999999*RAND(),"000000")))</f>
        <v/>
      </c>
      <c r="BW90" s="333">
        <f t="shared" ca="1" si="40"/>
        <v>0</v>
      </c>
      <c r="BZ90" s="333" t="str">
        <f ca="1">IF(TYPE(VLOOKUP($A90,'6.kolo'!$L$3:$L$66,1,0))&gt;3,IF(TYPE(VLOOKUP($A90,'6.kolo'!$K$3:$L$66,2,0))&gt;3,0,VLOOKUP($A90,'6.kolo'!$K$3:$L$66,2,0)),VLOOKUP($A90,'6.kolo'!$L$3:$O$66,4,0))</f>
        <v/>
      </c>
      <c r="CA90" s="333">
        <f ca="1">IF(TYPE(VLOOKUP($A90,'6.kolo'!$L$3:$L$66,1,0))&gt;3,IF(TYPE(VLOOKUP($A90,'6.kolo'!$O$3:$Q$66,2,0))&gt;3,0,VLOOKUP($A90,'6.kolo'!$O$3:$Q$66,2,0)),VLOOKUP($A90,'6.kolo'!$L$3:$N$66,2,0))</f>
        <v>0</v>
      </c>
      <c r="CB90" s="333">
        <f ca="1">IF(TYPE(VLOOKUP($A90,'6.kolo'!$L$3:$L$66,1,0))&gt;3,IF(TYPE(VLOOKUP($A90,'6.kolo'!$O$3:$Q$66,3,0))&gt;3,0,VLOOKUP($A90,'6.kolo'!$O$3:$Q$66,3,0)),VLOOKUP($A90,'6.kolo'!$L$3:$N$66,3,0))</f>
        <v>0</v>
      </c>
      <c r="CC90" s="333">
        <f t="shared" ca="1" si="58"/>
        <v>0</v>
      </c>
      <c r="CD90" s="415"/>
      <c r="CE90" s="442" t="str">
        <f ca="1">IF(CD90="","",CONCATENATE(TEXT($O90,"0"),IF(Start.listina!$Y$5="","",TEXT(500+$P90,"000")),TEXT(999999*RAND(),"000000")))</f>
        <v/>
      </c>
      <c r="CF90" s="333">
        <f t="shared" ca="1" si="41"/>
        <v>0</v>
      </c>
    </row>
    <row r="91" spans="1:84" x14ac:dyDescent="0.25">
      <c r="A91" s="333" t="str">
        <f>IF(OR(Start.listina!H99&gt;Start.listina!$K$7,Start.listina!G99=TRUE),"",Start.listina!H99)</f>
        <v/>
      </c>
      <c r="B91" s="333" t="str">
        <f>IF($A91&gt;Start.listina!$K$7,"",INT(($A91-1)/Start.listina!$O$7)+1)</f>
        <v/>
      </c>
      <c r="C91" s="439" t="str">
        <f>IF(OR(Start.listina!H99&gt;Start.listina!$K$7,Start.listina!G99=TRUE)," - ",Start.listina!AL99)</f>
        <v xml:space="preserve"> - </v>
      </c>
      <c r="D91" s="333" t="str">
        <f>IF(OR(A91&gt;Start.listina!$K$7,TYPE(VLOOKUP(A91,$V$3:$X$130,3,0))&gt;3),"",VLOOKUP(A91,$V$3:$X$130,3,0))</f>
        <v/>
      </c>
      <c r="E91" s="440" t="str">
        <f>IF(A91&gt;Start.listina!$K$7,"",IF(MIN(F91:K91)&gt;Start.listina!$Y$4,D91,MIN(F91:K91)))</f>
        <v/>
      </c>
      <c r="F91" s="333">
        <f ca="1">IF(TYPE(VLOOKUP(C91,Konečné_pořadí_1_16!$B$2:$D$17,3,0))&lt;4,VLOOKUP(C91,Konečné_pořadí_1_16!$B$2:$D$17,3,0),999)</f>
        <v>999</v>
      </c>
      <c r="G91" s="333">
        <f ca="1">IF(TYPE(VLOOKUP(C91,'KO64'!$D$4:$D$129,1,0))&lt;4,64,999)</f>
        <v>64</v>
      </c>
      <c r="H91" s="333">
        <f ca="1">IF(TYPE(VLOOKUP(C91,'KO32'!$D$4:$D$65,1,0))&lt;4,32,999)</f>
        <v>32</v>
      </c>
      <c r="I91" s="333">
        <f ca="1">IF(TYPE(VLOOKUP(C91,'KO16'!$D$4:$D$33,1,0))&lt;4,16,999)</f>
        <v>999</v>
      </c>
      <c r="J91" s="333">
        <f ca="1">IF(TYPE(VLOOKUP(C91,'KO8'!$D$4:$D$17,1,0))&lt;4,8,999)</f>
        <v>999</v>
      </c>
      <c r="K91" s="333">
        <f ca="1">IF(TYPE(VLOOKUP(C91,'KO4'!$D$4:$D$9,1,0))&lt;4,4,999)</f>
        <v>999</v>
      </c>
      <c r="M91" s="334">
        <v>89</v>
      </c>
      <c r="O91" s="333">
        <f t="shared" ca="1" si="42"/>
        <v>0</v>
      </c>
      <c r="P91" s="333">
        <f t="shared" ca="1" si="43"/>
        <v>0</v>
      </c>
      <c r="Q91" s="333">
        <f t="shared" ca="1" si="34"/>
        <v>2</v>
      </c>
      <c r="R91" s="333">
        <f t="shared" ca="1" si="35"/>
        <v>0</v>
      </c>
      <c r="S91" s="333">
        <f t="shared" ca="1" si="44"/>
        <v>16</v>
      </c>
      <c r="T91" s="333">
        <f t="shared" ca="1" si="45"/>
        <v>0</v>
      </c>
      <c r="U91" s="415">
        <f t="shared" si="59"/>
        <v>89</v>
      </c>
      <c r="V91" s="415" t="s">
        <v>2005</v>
      </c>
      <c r="W91" s="441" t="str">
        <f ca="1">IF($V91="","",CONCATENATE(TEXT($O91,"0"),IF(Start.listina!$Y$5="","",TEXT(500+$P91,"0000")),IF(Start.listina!$Y$6="","",CHOOSE(Start.listina!$Y$7,TEXT($Q91,"00"),CONCATENATE(TEXT($Q91,"00"),TEXT($S91,"000")), TEXT($R91,"00"))),TEXT(500+$P91,"0000"),IF(Start.listina!$Y$8="","",TEXT($T91,"0")),TEXT(999999*RAND(),"000000")))</f>
        <v/>
      </c>
      <c r="X91" s="417">
        <f t="shared" si="46"/>
        <v>89</v>
      </c>
      <c r="Y91" s="415">
        <f t="shared" ca="1" si="36"/>
        <v>0</v>
      </c>
      <c r="Z91" s="333">
        <f t="shared" ca="1" si="47"/>
        <v>51</v>
      </c>
      <c r="AA91" s="333" t="str">
        <f t="shared" ca="1" si="48"/>
        <v/>
      </c>
      <c r="AB91" s="333" t="str">
        <f t="shared" ca="1" si="49"/>
        <v/>
      </c>
      <c r="AC91" s="333" t="str">
        <f t="shared" ca="1" si="50"/>
        <v/>
      </c>
      <c r="AD91" s="333" t="str">
        <f t="shared" ca="1" si="51"/>
        <v/>
      </c>
      <c r="AE91" s="333" t="str">
        <f t="shared" ca="1" si="52"/>
        <v/>
      </c>
      <c r="AG91" s="333">
        <f ca="1">IF(TYPE(VLOOKUP($A91,'1.kolo'!$L$3:$L$66,1,0))&gt;3,VLOOKUP($A91,'1.kolo'!$K$3:$L$66,2,0),VLOOKUP($A91,'1.kolo'!$L$3:$O$66,4,0))</f>
        <v>51</v>
      </c>
      <c r="AH91" s="333">
        <f ca="1">IF(TYPE(VLOOKUP($A91,'1.kolo'!$L$3:$L$66,1,0))&gt;3,VLOOKUP($A91,'1.kolo'!$O$3:$Q$66,2,0),VLOOKUP($A91,'1.kolo'!$L$3:$N$66,2,0))</f>
        <v>0</v>
      </c>
      <c r="AI91" s="333">
        <f ca="1">IF(TYPE(VLOOKUP($A91,'1.kolo'!$L$3:$L$66,1,0))&gt;3,VLOOKUP($A91,'1.kolo'!$O$3:$Q$66,3,0),VLOOKUP($A91,'1.kolo'!$L$3:$N$66,3,0))</f>
        <v>0</v>
      </c>
      <c r="AJ91" s="333">
        <f t="shared" ca="1" si="53"/>
        <v>0</v>
      </c>
      <c r="AK91" s="333">
        <v>89</v>
      </c>
      <c r="AL91" s="442"/>
      <c r="AP91" s="333" t="str">
        <f ca="1">IF(TYPE(VLOOKUP($A91,'2.kolo'!$L$3:$L$66,1,0))&gt;3,IF(TYPE(VLOOKUP($A91,'2.kolo'!$K$3:$L$66,2,0))&gt;3,0,VLOOKUP($A91,'2.kolo'!$K$3:$L$66,2,0)),VLOOKUP($A91,'2.kolo'!$L$3:$O$66,4,0))</f>
        <v/>
      </c>
      <c r="AQ91" s="333">
        <f ca="1">IF(TYPE(VLOOKUP($A91,'2.kolo'!$L$3:$L$66,1,0))&gt;3,IF(TYPE(VLOOKUP($A91,'2.kolo'!$O$3:$Q$66,2,0))&gt;3,0,VLOOKUP($A91,'2.kolo'!$O$3:$Q$66,2,0)),VLOOKUP($A91,'2.kolo'!$L$3:$N$66,2,0))</f>
        <v>0</v>
      </c>
      <c r="AR91" s="333">
        <f ca="1">IF(TYPE(VLOOKUP($A91,'2.kolo'!$L$3:$L$66,1,0))&gt;3,IF(TYPE(VLOOKUP($A91,'2.kolo'!$O$3:$Q$66,3,0))&gt;3,0,VLOOKUP($A91,'2.kolo'!$O$3:$Q$66,3,0)),VLOOKUP($A91,'2.kolo'!$L$3:$N$66,3,0))</f>
        <v>0</v>
      </c>
      <c r="AS91" s="333">
        <f t="shared" ca="1" si="54"/>
        <v>0</v>
      </c>
      <c r="AT91" s="415" t="s">
        <v>2005</v>
      </c>
      <c r="AU91" s="442" t="str">
        <f ca="1">IF(AT91="","",CONCATENATE(TEXT($O91,"0"),IF(Start.listina!$Y$5="","",TEXT(500+$P91,"000")),TEXT(999999*RAND(),"000000")))</f>
        <v/>
      </c>
      <c r="AV91" s="333">
        <f t="shared" ca="1" si="37"/>
        <v>0</v>
      </c>
      <c r="AY91" s="333" t="str">
        <f ca="1">IF(TYPE(VLOOKUP($A91,'3.kolo'!$L$3:$L$66,1,0))&gt;3,IF(TYPE(VLOOKUP($A91,'3.kolo'!$K$3:$L$66,2,0))&gt;3,0,VLOOKUP($A91,'3.kolo'!$K$3:$L$66,2,0)),VLOOKUP($A91,'3.kolo'!$L$3:$O$66,4,0))</f>
        <v/>
      </c>
      <c r="AZ91" s="333">
        <f ca="1">IF(TYPE(VLOOKUP($A91,'3.kolo'!$L$3:$L$66,1,0))&gt;3,IF(TYPE(VLOOKUP($A91,'3.kolo'!$O$3:$Q$66,2,0))&gt;3,0,VLOOKUP($A91,'3.kolo'!$O$3:$Q$66,2,0)),VLOOKUP($A91,'3.kolo'!$L$3:$N$66,2,0))</f>
        <v>0</v>
      </c>
      <c r="BA91" s="333">
        <f ca="1">IF(TYPE(VLOOKUP($A91,'3.kolo'!$L$3:$L$66,1,0))&gt;3,IF(TYPE(VLOOKUP($A91,'3.kolo'!$O$3:$Q$66,3,0))&gt;3,0,VLOOKUP($A91,'3.kolo'!$O$3:$Q$66,3,0)),VLOOKUP($A91,'3.kolo'!$L$3:$N$66,3,0))</f>
        <v>0</v>
      </c>
      <c r="BB91" s="333">
        <f t="shared" ca="1" si="55"/>
        <v>0</v>
      </c>
      <c r="BC91" s="415" t="s">
        <v>2005</v>
      </c>
      <c r="BD91" s="442" t="str">
        <f ca="1">IF(BC91="","",CONCATENATE(TEXT($O91,"0"),IF(Start.listina!$Y$5="","",TEXT(500+$P91,"000")),TEXT(999999*RAND(),"000000")))</f>
        <v/>
      </c>
      <c r="BE91" s="333">
        <f t="shared" ca="1" si="38"/>
        <v>0</v>
      </c>
      <c r="BH91" s="333" t="str">
        <f ca="1">IF(TYPE(VLOOKUP($A91,'4.kolo'!$L$3:$L$66,1,0))&gt;3,IF(TYPE(VLOOKUP($A91,'4.kolo'!$K$3:$L$66,2,0))&gt;3,0,VLOOKUP($A91,'4.kolo'!$K$3:$L$66,2,0)),VLOOKUP($A91,'4.kolo'!$L$3:$O$66,4,0))</f>
        <v/>
      </c>
      <c r="BI91" s="333">
        <f ca="1">IF(TYPE(VLOOKUP($A91,'4.kolo'!$L$3:$L$66,1,0))&gt;3,IF(TYPE(VLOOKUP($A91,'4.kolo'!$O$3:$Q$66,2,0))&gt;3,0,VLOOKUP($A91,'4.kolo'!$O$3:$Q$66,2,0)),VLOOKUP($A91,'4.kolo'!$L$3:$N$66,2,0))</f>
        <v>0</v>
      </c>
      <c r="BJ91" s="333">
        <f ca="1">IF(TYPE(VLOOKUP($A91,'4.kolo'!$L$3:$L$66,1,0))&gt;3,IF(TYPE(VLOOKUP($A91,'4.kolo'!$O$3:$Q$66,3,0))&gt;3,0,VLOOKUP($A91,'4.kolo'!$O$3:$Q$66,3,0)),VLOOKUP($A91,'4.kolo'!$L$3:$N$66,3,0))</f>
        <v>0</v>
      </c>
      <c r="BK91" s="333">
        <f t="shared" ca="1" si="56"/>
        <v>0</v>
      </c>
      <c r="BL91" s="415" t="s">
        <v>2005</v>
      </c>
      <c r="BM91" s="442" t="str">
        <f ca="1">IF(BL91="","",CONCATENATE(TEXT($O91,"0"),IF(Start.listina!$Y$5="","",TEXT(500+$P91,"000")),TEXT(999999*RAND(),"000000")))</f>
        <v/>
      </c>
      <c r="BN91" s="333">
        <f t="shared" ca="1" si="39"/>
        <v>0</v>
      </c>
      <c r="BQ91" s="333" t="str">
        <f ca="1">IF(TYPE(VLOOKUP($A91,'5.kolo'!$L$3:$L$66,1,0))&gt;3,IF(TYPE(VLOOKUP($A91,'5.kolo'!$K$3:$L$66,2,0))&gt;3,0,VLOOKUP($A91,'5.kolo'!$K$3:$L$66,2,0)),VLOOKUP($A91,'5.kolo'!$L$3:$O$66,4,0))</f>
        <v/>
      </c>
      <c r="BR91" s="333">
        <f ca="1">IF(TYPE(VLOOKUP($A91,'5.kolo'!$L$3:$L$66,1,0))&gt;3,IF(TYPE(VLOOKUP($A91,'5.kolo'!$O$3:$Q$66,2,0))&gt;3,0,VLOOKUP($A91,'5.kolo'!$O$3:$Q$66,2,0)),VLOOKUP($A91,'5.kolo'!$L$3:$N$66,2,0))</f>
        <v>0</v>
      </c>
      <c r="BS91" s="333">
        <f ca="1">IF(TYPE(VLOOKUP($A91,'5.kolo'!$L$3:$L$66,1,0))&gt;3,IF(TYPE(VLOOKUP($A91,'5.kolo'!$O$3:$Q$66,3,0))&gt;3,0,VLOOKUP($A91,'5.kolo'!$O$3:$Q$66,3,0)),VLOOKUP($A91,'5.kolo'!$L$3:$N$66,3,0))</f>
        <v>0</v>
      </c>
      <c r="BT91" s="333">
        <f t="shared" ca="1" si="57"/>
        <v>0</v>
      </c>
      <c r="BU91" s="415"/>
      <c r="BV91" s="442" t="str">
        <f ca="1">IF(BU91="","",CONCATENATE(TEXT($O91,"0"),IF(Start.listina!$Y$5="","",TEXT(500+$P91,"000")),TEXT(999999*RAND(),"000000")))</f>
        <v/>
      </c>
      <c r="BW91" s="333">
        <f t="shared" ca="1" si="40"/>
        <v>0</v>
      </c>
      <c r="BZ91" s="333" t="str">
        <f ca="1">IF(TYPE(VLOOKUP($A91,'6.kolo'!$L$3:$L$66,1,0))&gt;3,IF(TYPE(VLOOKUP($A91,'6.kolo'!$K$3:$L$66,2,0))&gt;3,0,VLOOKUP($A91,'6.kolo'!$K$3:$L$66,2,0)),VLOOKUP($A91,'6.kolo'!$L$3:$O$66,4,0))</f>
        <v/>
      </c>
      <c r="CA91" s="333">
        <f ca="1">IF(TYPE(VLOOKUP($A91,'6.kolo'!$L$3:$L$66,1,0))&gt;3,IF(TYPE(VLOOKUP($A91,'6.kolo'!$O$3:$Q$66,2,0))&gt;3,0,VLOOKUP($A91,'6.kolo'!$O$3:$Q$66,2,0)),VLOOKUP($A91,'6.kolo'!$L$3:$N$66,2,0))</f>
        <v>0</v>
      </c>
      <c r="CB91" s="333">
        <f ca="1">IF(TYPE(VLOOKUP($A91,'6.kolo'!$L$3:$L$66,1,0))&gt;3,IF(TYPE(VLOOKUP($A91,'6.kolo'!$O$3:$Q$66,3,0))&gt;3,0,VLOOKUP($A91,'6.kolo'!$O$3:$Q$66,3,0)),VLOOKUP($A91,'6.kolo'!$L$3:$N$66,3,0))</f>
        <v>0</v>
      </c>
      <c r="CC91" s="333">
        <f t="shared" ca="1" si="58"/>
        <v>0</v>
      </c>
      <c r="CD91" s="415"/>
      <c r="CE91" s="442" t="str">
        <f ca="1">IF(CD91="","",CONCATENATE(TEXT($O91,"0"),IF(Start.listina!$Y$5="","",TEXT(500+$P91,"000")),TEXT(999999*RAND(),"000000")))</f>
        <v/>
      </c>
      <c r="CF91" s="333">
        <f t="shared" ca="1" si="41"/>
        <v>0</v>
      </c>
    </row>
    <row r="92" spans="1:84" x14ac:dyDescent="0.25">
      <c r="A92" s="333" t="str">
        <f>IF(OR(Start.listina!H100&gt;Start.listina!$K$7,Start.listina!G100=TRUE),"",Start.listina!H100)</f>
        <v/>
      </c>
      <c r="B92" s="333" t="str">
        <f>IF($A92&gt;Start.listina!$K$7,"",INT(($A92-1)/Start.listina!$O$7)+1)</f>
        <v/>
      </c>
      <c r="C92" s="439" t="str">
        <f>IF(OR(Start.listina!H100&gt;Start.listina!$K$7,Start.listina!G100=TRUE)," - ",Start.listina!AL100)</f>
        <v xml:space="preserve"> - </v>
      </c>
      <c r="D92" s="333" t="str">
        <f>IF(OR(A92&gt;Start.listina!$K$7,TYPE(VLOOKUP(A92,$V$3:$X$130,3,0))&gt;3),"",VLOOKUP(A92,$V$3:$X$130,3,0))</f>
        <v/>
      </c>
      <c r="E92" s="440" t="str">
        <f>IF(A92&gt;Start.listina!$K$7,"",IF(MIN(F92:K92)&gt;Start.listina!$Y$4,D92,MIN(F92:K92)))</f>
        <v/>
      </c>
      <c r="F92" s="333">
        <f ca="1">IF(TYPE(VLOOKUP(C92,Konečné_pořadí_1_16!$B$2:$D$17,3,0))&lt;4,VLOOKUP(C92,Konečné_pořadí_1_16!$B$2:$D$17,3,0),999)</f>
        <v>999</v>
      </c>
      <c r="G92" s="333">
        <f ca="1">IF(TYPE(VLOOKUP(C92,'KO64'!$D$4:$D$129,1,0))&lt;4,64,999)</f>
        <v>64</v>
      </c>
      <c r="H92" s="333">
        <f ca="1">IF(TYPE(VLOOKUP(C92,'KO32'!$D$4:$D$65,1,0))&lt;4,32,999)</f>
        <v>32</v>
      </c>
      <c r="I92" s="333">
        <f ca="1">IF(TYPE(VLOOKUP(C92,'KO16'!$D$4:$D$33,1,0))&lt;4,16,999)</f>
        <v>999</v>
      </c>
      <c r="J92" s="333">
        <f ca="1">IF(TYPE(VLOOKUP(C92,'KO8'!$D$4:$D$17,1,0))&lt;4,8,999)</f>
        <v>999</v>
      </c>
      <c r="K92" s="333">
        <f ca="1">IF(TYPE(VLOOKUP(C92,'KO4'!$D$4:$D$9,1,0))&lt;4,4,999)</f>
        <v>999</v>
      </c>
      <c r="M92" s="334">
        <v>90</v>
      </c>
      <c r="O92" s="333">
        <f t="shared" ca="1" si="42"/>
        <v>0</v>
      </c>
      <c r="P92" s="333">
        <f t="shared" ca="1" si="43"/>
        <v>0</v>
      </c>
      <c r="Q92" s="333">
        <f t="shared" ca="1" si="34"/>
        <v>2</v>
      </c>
      <c r="R92" s="333">
        <f t="shared" ca="1" si="35"/>
        <v>0</v>
      </c>
      <c r="S92" s="333">
        <f t="shared" ca="1" si="44"/>
        <v>16</v>
      </c>
      <c r="T92" s="333">
        <f t="shared" ca="1" si="45"/>
        <v>0</v>
      </c>
      <c r="U92" s="415">
        <f t="shared" si="59"/>
        <v>90</v>
      </c>
      <c r="V92" s="415" t="s">
        <v>2005</v>
      </c>
      <c r="W92" s="441" t="str">
        <f ca="1">IF($V92="","",CONCATENATE(TEXT($O92,"0"),IF(Start.listina!$Y$5="","",TEXT(500+$P92,"0000")),IF(Start.listina!$Y$6="","",CHOOSE(Start.listina!$Y$7,TEXT($Q92,"00"),CONCATENATE(TEXT($Q92,"00"),TEXT($S92,"000")), TEXT($R92,"00"))),TEXT(500+$P92,"0000"),IF(Start.listina!$Y$8="","",TEXT($T92,"0")),TEXT(999999*RAND(),"000000")))</f>
        <v/>
      </c>
      <c r="X92" s="417">
        <f t="shared" si="46"/>
        <v>90</v>
      </c>
      <c r="Y92" s="415">
        <f t="shared" ca="1" si="36"/>
        <v>0</v>
      </c>
      <c r="Z92" s="333">
        <f t="shared" ca="1" si="47"/>
        <v>51</v>
      </c>
      <c r="AA92" s="333" t="str">
        <f t="shared" ca="1" si="48"/>
        <v/>
      </c>
      <c r="AB92" s="333" t="str">
        <f t="shared" ca="1" si="49"/>
        <v/>
      </c>
      <c r="AC92" s="333" t="str">
        <f t="shared" ca="1" si="50"/>
        <v/>
      </c>
      <c r="AD92" s="333" t="str">
        <f t="shared" ca="1" si="51"/>
        <v/>
      </c>
      <c r="AE92" s="333" t="str">
        <f t="shared" ca="1" si="52"/>
        <v/>
      </c>
      <c r="AG92" s="333">
        <f ca="1">IF(TYPE(VLOOKUP($A92,'1.kolo'!$L$3:$L$66,1,0))&gt;3,VLOOKUP($A92,'1.kolo'!$K$3:$L$66,2,0),VLOOKUP($A92,'1.kolo'!$L$3:$O$66,4,0))</f>
        <v>51</v>
      </c>
      <c r="AH92" s="333">
        <f ca="1">IF(TYPE(VLOOKUP($A92,'1.kolo'!$L$3:$L$66,1,0))&gt;3,VLOOKUP($A92,'1.kolo'!$O$3:$Q$66,2,0),VLOOKUP($A92,'1.kolo'!$L$3:$N$66,2,0))</f>
        <v>0</v>
      </c>
      <c r="AI92" s="333">
        <f ca="1">IF(TYPE(VLOOKUP($A92,'1.kolo'!$L$3:$L$66,1,0))&gt;3,VLOOKUP($A92,'1.kolo'!$O$3:$Q$66,3,0),VLOOKUP($A92,'1.kolo'!$L$3:$N$66,3,0))</f>
        <v>0</v>
      </c>
      <c r="AJ92" s="333">
        <f t="shared" ca="1" si="53"/>
        <v>0</v>
      </c>
      <c r="AK92" s="333">
        <v>90</v>
      </c>
      <c r="AL92" s="442"/>
      <c r="AP92" s="333" t="str">
        <f ca="1">IF(TYPE(VLOOKUP($A92,'2.kolo'!$L$3:$L$66,1,0))&gt;3,IF(TYPE(VLOOKUP($A92,'2.kolo'!$K$3:$L$66,2,0))&gt;3,0,VLOOKUP($A92,'2.kolo'!$K$3:$L$66,2,0)),VLOOKUP($A92,'2.kolo'!$L$3:$O$66,4,0))</f>
        <v/>
      </c>
      <c r="AQ92" s="333">
        <f ca="1">IF(TYPE(VLOOKUP($A92,'2.kolo'!$L$3:$L$66,1,0))&gt;3,IF(TYPE(VLOOKUP($A92,'2.kolo'!$O$3:$Q$66,2,0))&gt;3,0,VLOOKUP($A92,'2.kolo'!$O$3:$Q$66,2,0)),VLOOKUP($A92,'2.kolo'!$L$3:$N$66,2,0))</f>
        <v>0</v>
      </c>
      <c r="AR92" s="333">
        <f ca="1">IF(TYPE(VLOOKUP($A92,'2.kolo'!$L$3:$L$66,1,0))&gt;3,IF(TYPE(VLOOKUP($A92,'2.kolo'!$O$3:$Q$66,3,0))&gt;3,0,VLOOKUP($A92,'2.kolo'!$O$3:$Q$66,3,0)),VLOOKUP($A92,'2.kolo'!$L$3:$N$66,3,0))</f>
        <v>0</v>
      </c>
      <c r="AS92" s="333">
        <f t="shared" ca="1" si="54"/>
        <v>0</v>
      </c>
      <c r="AT92" s="415" t="s">
        <v>2005</v>
      </c>
      <c r="AU92" s="442" t="str">
        <f ca="1">IF(AT92="","",CONCATENATE(TEXT($O92,"0"),IF(Start.listina!$Y$5="","",TEXT(500+$P92,"000")),TEXT(999999*RAND(),"000000")))</f>
        <v/>
      </c>
      <c r="AV92" s="333">
        <f t="shared" ca="1" si="37"/>
        <v>0</v>
      </c>
      <c r="AY92" s="333" t="str">
        <f ca="1">IF(TYPE(VLOOKUP($A92,'3.kolo'!$L$3:$L$66,1,0))&gt;3,IF(TYPE(VLOOKUP($A92,'3.kolo'!$K$3:$L$66,2,0))&gt;3,0,VLOOKUP($A92,'3.kolo'!$K$3:$L$66,2,0)),VLOOKUP($A92,'3.kolo'!$L$3:$O$66,4,0))</f>
        <v/>
      </c>
      <c r="AZ92" s="333">
        <f ca="1">IF(TYPE(VLOOKUP($A92,'3.kolo'!$L$3:$L$66,1,0))&gt;3,IF(TYPE(VLOOKUP($A92,'3.kolo'!$O$3:$Q$66,2,0))&gt;3,0,VLOOKUP($A92,'3.kolo'!$O$3:$Q$66,2,0)),VLOOKUP($A92,'3.kolo'!$L$3:$N$66,2,0))</f>
        <v>0</v>
      </c>
      <c r="BA92" s="333">
        <f ca="1">IF(TYPE(VLOOKUP($A92,'3.kolo'!$L$3:$L$66,1,0))&gt;3,IF(TYPE(VLOOKUP($A92,'3.kolo'!$O$3:$Q$66,3,0))&gt;3,0,VLOOKUP($A92,'3.kolo'!$O$3:$Q$66,3,0)),VLOOKUP($A92,'3.kolo'!$L$3:$N$66,3,0))</f>
        <v>0</v>
      </c>
      <c r="BB92" s="333">
        <f t="shared" ca="1" si="55"/>
        <v>0</v>
      </c>
      <c r="BC92" s="415" t="s">
        <v>2005</v>
      </c>
      <c r="BD92" s="442" t="str">
        <f ca="1">IF(BC92="","",CONCATENATE(TEXT($O92,"0"),IF(Start.listina!$Y$5="","",TEXT(500+$P92,"000")),TEXT(999999*RAND(),"000000")))</f>
        <v/>
      </c>
      <c r="BE92" s="333">
        <f t="shared" ca="1" si="38"/>
        <v>0</v>
      </c>
      <c r="BH92" s="333" t="str">
        <f ca="1">IF(TYPE(VLOOKUP($A92,'4.kolo'!$L$3:$L$66,1,0))&gt;3,IF(TYPE(VLOOKUP($A92,'4.kolo'!$K$3:$L$66,2,0))&gt;3,0,VLOOKUP($A92,'4.kolo'!$K$3:$L$66,2,0)),VLOOKUP($A92,'4.kolo'!$L$3:$O$66,4,0))</f>
        <v/>
      </c>
      <c r="BI92" s="333">
        <f ca="1">IF(TYPE(VLOOKUP($A92,'4.kolo'!$L$3:$L$66,1,0))&gt;3,IF(TYPE(VLOOKUP($A92,'4.kolo'!$O$3:$Q$66,2,0))&gt;3,0,VLOOKUP($A92,'4.kolo'!$O$3:$Q$66,2,0)),VLOOKUP($A92,'4.kolo'!$L$3:$N$66,2,0))</f>
        <v>0</v>
      </c>
      <c r="BJ92" s="333">
        <f ca="1">IF(TYPE(VLOOKUP($A92,'4.kolo'!$L$3:$L$66,1,0))&gt;3,IF(TYPE(VLOOKUP($A92,'4.kolo'!$O$3:$Q$66,3,0))&gt;3,0,VLOOKUP($A92,'4.kolo'!$O$3:$Q$66,3,0)),VLOOKUP($A92,'4.kolo'!$L$3:$N$66,3,0))</f>
        <v>0</v>
      </c>
      <c r="BK92" s="333">
        <f t="shared" ca="1" si="56"/>
        <v>0</v>
      </c>
      <c r="BL92" s="415" t="s">
        <v>2005</v>
      </c>
      <c r="BM92" s="442" t="str">
        <f ca="1">IF(BL92="","",CONCATENATE(TEXT($O92,"0"),IF(Start.listina!$Y$5="","",TEXT(500+$P92,"000")),TEXT(999999*RAND(),"000000")))</f>
        <v/>
      </c>
      <c r="BN92" s="333">
        <f t="shared" ca="1" si="39"/>
        <v>0</v>
      </c>
      <c r="BQ92" s="333" t="str">
        <f ca="1">IF(TYPE(VLOOKUP($A92,'5.kolo'!$L$3:$L$66,1,0))&gt;3,IF(TYPE(VLOOKUP($A92,'5.kolo'!$K$3:$L$66,2,0))&gt;3,0,VLOOKUP($A92,'5.kolo'!$K$3:$L$66,2,0)),VLOOKUP($A92,'5.kolo'!$L$3:$O$66,4,0))</f>
        <v/>
      </c>
      <c r="BR92" s="333">
        <f ca="1">IF(TYPE(VLOOKUP($A92,'5.kolo'!$L$3:$L$66,1,0))&gt;3,IF(TYPE(VLOOKUP($A92,'5.kolo'!$O$3:$Q$66,2,0))&gt;3,0,VLOOKUP($A92,'5.kolo'!$O$3:$Q$66,2,0)),VLOOKUP($A92,'5.kolo'!$L$3:$N$66,2,0))</f>
        <v>0</v>
      </c>
      <c r="BS92" s="333">
        <f ca="1">IF(TYPE(VLOOKUP($A92,'5.kolo'!$L$3:$L$66,1,0))&gt;3,IF(TYPE(VLOOKUP($A92,'5.kolo'!$O$3:$Q$66,3,0))&gt;3,0,VLOOKUP($A92,'5.kolo'!$O$3:$Q$66,3,0)),VLOOKUP($A92,'5.kolo'!$L$3:$N$66,3,0))</f>
        <v>0</v>
      </c>
      <c r="BT92" s="333">
        <f t="shared" ca="1" si="57"/>
        <v>0</v>
      </c>
      <c r="BU92" s="415"/>
      <c r="BV92" s="442" t="str">
        <f ca="1">IF(BU92="","",CONCATENATE(TEXT($O92,"0"),IF(Start.listina!$Y$5="","",TEXT(500+$P92,"000")),TEXT(999999*RAND(),"000000")))</f>
        <v/>
      </c>
      <c r="BW92" s="333">
        <f t="shared" ca="1" si="40"/>
        <v>0</v>
      </c>
      <c r="BZ92" s="333" t="str">
        <f ca="1">IF(TYPE(VLOOKUP($A92,'6.kolo'!$L$3:$L$66,1,0))&gt;3,IF(TYPE(VLOOKUP($A92,'6.kolo'!$K$3:$L$66,2,0))&gt;3,0,VLOOKUP($A92,'6.kolo'!$K$3:$L$66,2,0)),VLOOKUP($A92,'6.kolo'!$L$3:$O$66,4,0))</f>
        <v/>
      </c>
      <c r="CA92" s="333">
        <f ca="1">IF(TYPE(VLOOKUP($A92,'6.kolo'!$L$3:$L$66,1,0))&gt;3,IF(TYPE(VLOOKUP($A92,'6.kolo'!$O$3:$Q$66,2,0))&gt;3,0,VLOOKUP($A92,'6.kolo'!$O$3:$Q$66,2,0)),VLOOKUP($A92,'6.kolo'!$L$3:$N$66,2,0))</f>
        <v>0</v>
      </c>
      <c r="CB92" s="333">
        <f ca="1">IF(TYPE(VLOOKUP($A92,'6.kolo'!$L$3:$L$66,1,0))&gt;3,IF(TYPE(VLOOKUP($A92,'6.kolo'!$O$3:$Q$66,3,0))&gt;3,0,VLOOKUP($A92,'6.kolo'!$O$3:$Q$66,3,0)),VLOOKUP($A92,'6.kolo'!$L$3:$N$66,3,0))</f>
        <v>0</v>
      </c>
      <c r="CC92" s="333">
        <f t="shared" ca="1" si="58"/>
        <v>0</v>
      </c>
      <c r="CD92" s="415"/>
      <c r="CE92" s="442" t="str">
        <f ca="1">IF(CD92="","",CONCATENATE(TEXT($O92,"0"),IF(Start.listina!$Y$5="","",TEXT(500+$P92,"000")),TEXT(999999*RAND(),"000000")))</f>
        <v/>
      </c>
      <c r="CF92" s="333">
        <f t="shared" ca="1" si="41"/>
        <v>0</v>
      </c>
    </row>
    <row r="93" spans="1:84" x14ac:dyDescent="0.25">
      <c r="A93" s="333" t="str">
        <f>IF(OR(Start.listina!H101&gt;Start.listina!$K$7,Start.listina!G101=TRUE),"",Start.listina!H101)</f>
        <v/>
      </c>
      <c r="B93" s="333" t="str">
        <f>IF($A93&gt;Start.listina!$K$7,"",INT(($A93-1)/Start.listina!$O$7)+1)</f>
        <v/>
      </c>
      <c r="C93" s="439" t="str">
        <f>IF(OR(Start.listina!H101&gt;Start.listina!$K$7,Start.listina!G101=TRUE)," - ",Start.listina!AL101)</f>
        <v xml:space="preserve"> - </v>
      </c>
      <c r="D93" s="333" t="str">
        <f>IF(OR(A93&gt;Start.listina!$K$7,TYPE(VLOOKUP(A93,$V$3:$X$130,3,0))&gt;3),"",VLOOKUP(A93,$V$3:$X$130,3,0))</f>
        <v/>
      </c>
      <c r="E93" s="440" t="str">
        <f>IF(A93&gt;Start.listina!$K$7,"",IF(MIN(F93:K93)&gt;Start.listina!$Y$4,D93,MIN(F93:K93)))</f>
        <v/>
      </c>
      <c r="F93" s="333">
        <f ca="1">IF(TYPE(VLOOKUP(C93,Konečné_pořadí_1_16!$B$2:$D$17,3,0))&lt;4,VLOOKUP(C93,Konečné_pořadí_1_16!$B$2:$D$17,3,0),999)</f>
        <v>999</v>
      </c>
      <c r="G93" s="333">
        <f ca="1">IF(TYPE(VLOOKUP(C93,'KO64'!$D$4:$D$129,1,0))&lt;4,64,999)</f>
        <v>64</v>
      </c>
      <c r="H93" s="333">
        <f ca="1">IF(TYPE(VLOOKUP(C93,'KO32'!$D$4:$D$65,1,0))&lt;4,32,999)</f>
        <v>32</v>
      </c>
      <c r="I93" s="333">
        <f ca="1">IF(TYPE(VLOOKUP(C93,'KO16'!$D$4:$D$33,1,0))&lt;4,16,999)</f>
        <v>999</v>
      </c>
      <c r="J93" s="333">
        <f ca="1">IF(TYPE(VLOOKUP(C93,'KO8'!$D$4:$D$17,1,0))&lt;4,8,999)</f>
        <v>999</v>
      </c>
      <c r="K93" s="333">
        <f ca="1">IF(TYPE(VLOOKUP(C93,'KO4'!$D$4:$D$9,1,0))&lt;4,4,999)</f>
        <v>999</v>
      </c>
      <c r="M93" s="334">
        <v>91</v>
      </c>
      <c r="O93" s="333">
        <f t="shared" ca="1" si="42"/>
        <v>0</v>
      </c>
      <c r="P93" s="333">
        <f t="shared" ca="1" si="43"/>
        <v>0</v>
      </c>
      <c r="Q93" s="333">
        <f t="shared" ca="1" si="34"/>
        <v>2</v>
      </c>
      <c r="R93" s="333">
        <f t="shared" ca="1" si="35"/>
        <v>0</v>
      </c>
      <c r="S93" s="333">
        <f t="shared" ca="1" si="44"/>
        <v>16</v>
      </c>
      <c r="T93" s="333">
        <f t="shared" ca="1" si="45"/>
        <v>0</v>
      </c>
      <c r="U93" s="415">
        <f t="shared" si="59"/>
        <v>91</v>
      </c>
      <c r="V93" s="415" t="s">
        <v>2005</v>
      </c>
      <c r="W93" s="441" t="str">
        <f ca="1">IF($V93="","",CONCATENATE(TEXT($O93,"0"),IF(Start.listina!$Y$5="","",TEXT(500+$P93,"0000")),IF(Start.listina!$Y$6="","",CHOOSE(Start.listina!$Y$7,TEXT($Q93,"00"),CONCATENATE(TEXT($Q93,"00"),TEXT($S93,"000")), TEXT($R93,"00"))),TEXT(500+$P93,"0000"),IF(Start.listina!$Y$8="","",TEXT($T93,"0")),TEXT(999999*RAND(),"000000")))</f>
        <v/>
      </c>
      <c r="X93" s="417">
        <f t="shared" si="46"/>
        <v>91</v>
      </c>
      <c r="Y93" s="415">
        <f t="shared" ca="1" si="36"/>
        <v>0</v>
      </c>
      <c r="Z93" s="333">
        <f t="shared" ca="1" si="47"/>
        <v>51</v>
      </c>
      <c r="AA93" s="333" t="str">
        <f t="shared" ca="1" si="48"/>
        <v/>
      </c>
      <c r="AB93" s="333" t="str">
        <f t="shared" ca="1" si="49"/>
        <v/>
      </c>
      <c r="AC93" s="333" t="str">
        <f t="shared" ca="1" si="50"/>
        <v/>
      </c>
      <c r="AD93" s="333" t="str">
        <f t="shared" ca="1" si="51"/>
        <v/>
      </c>
      <c r="AE93" s="333" t="str">
        <f t="shared" ca="1" si="52"/>
        <v/>
      </c>
      <c r="AG93" s="333">
        <f ca="1">IF(TYPE(VLOOKUP($A93,'1.kolo'!$L$3:$L$66,1,0))&gt;3,VLOOKUP($A93,'1.kolo'!$K$3:$L$66,2,0),VLOOKUP($A93,'1.kolo'!$L$3:$O$66,4,0))</f>
        <v>51</v>
      </c>
      <c r="AH93" s="333">
        <f ca="1">IF(TYPE(VLOOKUP($A93,'1.kolo'!$L$3:$L$66,1,0))&gt;3,VLOOKUP($A93,'1.kolo'!$O$3:$Q$66,2,0),VLOOKUP($A93,'1.kolo'!$L$3:$N$66,2,0))</f>
        <v>0</v>
      </c>
      <c r="AI93" s="333">
        <f ca="1">IF(TYPE(VLOOKUP($A93,'1.kolo'!$L$3:$L$66,1,0))&gt;3,VLOOKUP($A93,'1.kolo'!$O$3:$Q$66,3,0),VLOOKUP($A93,'1.kolo'!$L$3:$N$66,3,0))</f>
        <v>0</v>
      </c>
      <c r="AJ93" s="333">
        <f t="shared" ca="1" si="53"/>
        <v>0</v>
      </c>
      <c r="AK93" s="333">
        <v>91</v>
      </c>
      <c r="AL93" s="442"/>
      <c r="AP93" s="333" t="str">
        <f ca="1">IF(TYPE(VLOOKUP($A93,'2.kolo'!$L$3:$L$66,1,0))&gt;3,IF(TYPE(VLOOKUP($A93,'2.kolo'!$K$3:$L$66,2,0))&gt;3,0,VLOOKUP($A93,'2.kolo'!$K$3:$L$66,2,0)),VLOOKUP($A93,'2.kolo'!$L$3:$O$66,4,0))</f>
        <v/>
      </c>
      <c r="AQ93" s="333">
        <f ca="1">IF(TYPE(VLOOKUP($A93,'2.kolo'!$L$3:$L$66,1,0))&gt;3,IF(TYPE(VLOOKUP($A93,'2.kolo'!$O$3:$Q$66,2,0))&gt;3,0,VLOOKUP($A93,'2.kolo'!$O$3:$Q$66,2,0)),VLOOKUP($A93,'2.kolo'!$L$3:$N$66,2,0))</f>
        <v>0</v>
      </c>
      <c r="AR93" s="333">
        <f ca="1">IF(TYPE(VLOOKUP($A93,'2.kolo'!$L$3:$L$66,1,0))&gt;3,IF(TYPE(VLOOKUP($A93,'2.kolo'!$O$3:$Q$66,3,0))&gt;3,0,VLOOKUP($A93,'2.kolo'!$O$3:$Q$66,3,0)),VLOOKUP($A93,'2.kolo'!$L$3:$N$66,3,0))</f>
        <v>0</v>
      </c>
      <c r="AS93" s="333">
        <f t="shared" ca="1" si="54"/>
        <v>0</v>
      </c>
      <c r="AT93" s="415" t="s">
        <v>2005</v>
      </c>
      <c r="AU93" s="442" t="str">
        <f ca="1">IF(AT93="","",CONCATENATE(TEXT($O93,"0"),IF(Start.listina!$Y$5="","",TEXT(500+$P93,"000")),TEXT(999999*RAND(),"000000")))</f>
        <v/>
      </c>
      <c r="AV93" s="333">
        <f t="shared" ca="1" si="37"/>
        <v>0</v>
      </c>
      <c r="AY93" s="333" t="str">
        <f ca="1">IF(TYPE(VLOOKUP($A93,'3.kolo'!$L$3:$L$66,1,0))&gt;3,IF(TYPE(VLOOKUP($A93,'3.kolo'!$K$3:$L$66,2,0))&gt;3,0,VLOOKUP($A93,'3.kolo'!$K$3:$L$66,2,0)),VLOOKUP($A93,'3.kolo'!$L$3:$O$66,4,0))</f>
        <v/>
      </c>
      <c r="AZ93" s="333">
        <f ca="1">IF(TYPE(VLOOKUP($A93,'3.kolo'!$L$3:$L$66,1,0))&gt;3,IF(TYPE(VLOOKUP($A93,'3.kolo'!$O$3:$Q$66,2,0))&gt;3,0,VLOOKUP($A93,'3.kolo'!$O$3:$Q$66,2,0)),VLOOKUP($A93,'3.kolo'!$L$3:$N$66,2,0))</f>
        <v>0</v>
      </c>
      <c r="BA93" s="333">
        <f ca="1">IF(TYPE(VLOOKUP($A93,'3.kolo'!$L$3:$L$66,1,0))&gt;3,IF(TYPE(VLOOKUP($A93,'3.kolo'!$O$3:$Q$66,3,0))&gt;3,0,VLOOKUP($A93,'3.kolo'!$O$3:$Q$66,3,0)),VLOOKUP($A93,'3.kolo'!$L$3:$N$66,3,0))</f>
        <v>0</v>
      </c>
      <c r="BB93" s="333">
        <f t="shared" ca="1" si="55"/>
        <v>0</v>
      </c>
      <c r="BC93" s="415" t="s">
        <v>2005</v>
      </c>
      <c r="BD93" s="442" t="str">
        <f ca="1">IF(BC93="","",CONCATENATE(TEXT($O93,"0"),IF(Start.listina!$Y$5="","",TEXT(500+$P93,"000")),TEXT(999999*RAND(),"000000")))</f>
        <v/>
      </c>
      <c r="BE93" s="333">
        <f t="shared" ca="1" si="38"/>
        <v>0</v>
      </c>
      <c r="BH93" s="333" t="str">
        <f ca="1">IF(TYPE(VLOOKUP($A93,'4.kolo'!$L$3:$L$66,1,0))&gt;3,IF(TYPE(VLOOKUP($A93,'4.kolo'!$K$3:$L$66,2,0))&gt;3,0,VLOOKUP($A93,'4.kolo'!$K$3:$L$66,2,0)),VLOOKUP($A93,'4.kolo'!$L$3:$O$66,4,0))</f>
        <v/>
      </c>
      <c r="BI93" s="333">
        <f ca="1">IF(TYPE(VLOOKUP($A93,'4.kolo'!$L$3:$L$66,1,0))&gt;3,IF(TYPE(VLOOKUP($A93,'4.kolo'!$O$3:$Q$66,2,0))&gt;3,0,VLOOKUP($A93,'4.kolo'!$O$3:$Q$66,2,0)),VLOOKUP($A93,'4.kolo'!$L$3:$N$66,2,0))</f>
        <v>0</v>
      </c>
      <c r="BJ93" s="333">
        <f ca="1">IF(TYPE(VLOOKUP($A93,'4.kolo'!$L$3:$L$66,1,0))&gt;3,IF(TYPE(VLOOKUP($A93,'4.kolo'!$O$3:$Q$66,3,0))&gt;3,0,VLOOKUP($A93,'4.kolo'!$O$3:$Q$66,3,0)),VLOOKUP($A93,'4.kolo'!$L$3:$N$66,3,0))</f>
        <v>0</v>
      </c>
      <c r="BK93" s="333">
        <f t="shared" ca="1" si="56"/>
        <v>0</v>
      </c>
      <c r="BL93" s="415" t="s">
        <v>2005</v>
      </c>
      <c r="BM93" s="442" t="str">
        <f ca="1">IF(BL93="","",CONCATENATE(TEXT($O93,"0"),IF(Start.listina!$Y$5="","",TEXT(500+$P93,"000")),TEXT(999999*RAND(),"000000")))</f>
        <v/>
      </c>
      <c r="BN93" s="333">
        <f t="shared" ca="1" si="39"/>
        <v>0</v>
      </c>
      <c r="BQ93" s="333" t="str">
        <f ca="1">IF(TYPE(VLOOKUP($A93,'5.kolo'!$L$3:$L$66,1,0))&gt;3,IF(TYPE(VLOOKUP($A93,'5.kolo'!$K$3:$L$66,2,0))&gt;3,0,VLOOKUP($A93,'5.kolo'!$K$3:$L$66,2,0)),VLOOKUP($A93,'5.kolo'!$L$3:$O$66,4,0))</f>
        <v/>
      </c>
      <c r="BR93" s="333">
        <f ca="1">IF(TYPE(VLOOKUP($A93,'5.kolo'!$L$3:$L$66,1,0))&gt;3,IF(TYPE(VLOOKUP($A93,'5.kolo'!$O$3:$Q$66,2,0))&gt;3,0,VLOOKUP($A93,'5.kolo'!$O$3:$Q$66,2,0)),VLOOKUP($A93,'5.kolo'!$L$3:$N$66,2,0))</f>
        <v>0</v>
      </c>
      <c r="BS93" s="333">
        <f ca="1">IF(TYPE(VLOOKUP($A93,'5.kolo'!$L$3:$L$66,1,0))&gt;3,IF(TYPE(VLOOKUP($A93,'5.kolo'!$O$3:$Q$66,3,0))&gt;3,0,VLOOKUP($A93,'5.kolo'!$O$3:$Q$66,3,0)),VLOOKUP($A93,'5.kolo'!$L$3:$N$66,3,0))</f>
        <v>0</v>
      </c>
      <c r="BT93" s="333">
        <f t="shared" ca="1" si="57"/>
        <v>0</v>
      </c>
      <c r="BU93" s="415"/>
      <c r="BV93" s="442" t="str">
        <f ca="1">IF(BU93="","",CONCATENATE(TEXT($O93,"0"),IF(Start.listina!$Y$5="","",TEXT(500+$P93,"000")),TEXT(999999*RAND(),"000000")))</f>
        <v/>
      </c>
      <c r="BW93" s="333">
        <f t="shared" ca="1" si="40"/>
        <v>0</v>
      </c>
      <c r="BZ93" s="333" t="str">
        <f ca="1">IF(TYPE(VLOOKUP($A93,'6.kolo'!$L$3:$L$66,1,0))&gt;3,IF(TYPE(VLOOKUP($A93,'6.kolo'!$K$3:$L$66,2,0))&gt;3,0,VLOOKUP($A93,'6.kolo'!$K$3:$L$66,2,0)),VLOOKUP($A93,'6.kolo'!$L$3:$O$66,4,0))</f>
        <v/>
      </c>
      <c r="CA93" s="333">
        <f ca="1">IF(TYPE(VLOOKUP($A93,'6.kolo'!$L$3:$L$66,1,0))&gt;3,IF(TYPE(VLOOKUP($A93,'6.kolo'!$O$3:$Q$66,2,0))&gt;3,0,VLOOKUP($A93,'6.kolo'!$O$3:$Q$66,2,0)),VLOOKUP($A93,'6.kolo'!$L$3:$N$66,2,0))</f>
        <v>0</v>
      </c>
      <c r="CB93" s="333">
        <f ca="1">IF(TYPE(VLOOKUP($A93,'6.kolo'!$L$3:$L$66,1,0))&gt;3,IF(TYPE(VLOOKUP($A93,'6.kolo'!$O$3:$Q$66,3,0))&gt;3,0,VLOOKUP($A93,'6.kolo'!$O$3:$Q$66,3,0)),VLOOKUP($A93,'6.kolo'!$L$3:$N$66,3,0))</f>
        <v>0</v>
      </c>
      <c r="CC93" s="333">
        <f t="shared" ca="1" si="58"/>
        <v>0</v>
      </c>
      <c r="CD93" s="415"/>
      <c r="CE93" s="442" t="str">
        <f ca="1">IF(CD93="","",CONCATENATE(TEXT($O93,"0"),IF(Start.listina!$Y$5="","",TEXT(500+$P93,"000")),TEXT(999999*RAND(),"000000")))</f>
        <v/>
      </c>
      <c r="CF93" s="333">
        <f t="shared" ca="1" si="41"/>
        <v>0</v>
      </c>
    </row>
    <row r="94" spans="1:84" x14ac:dyDescent="0.25">
      <c r="A94" s="333" t="str">
        <f>IF(OR(Start.listina!H102&gt;Start.listina!$K$7,Start.listina!G102=TRUE),"",Start.listina!H102)</f>
        <v/>
      </c>
      <c r="B94" s="333" t="str">
        <f>IF($A94&gt;Start.listina!$K$7,"",INT(($A94-1)/Start.listina!$O$7)+1)</f>
        <v/>
      </c>
      <c r="C94" s="439" t="str">
        <f>IF(OR(Start.listina!H102&gt;Start.listina!$K$7,Start.listina!G102=TRUE)," - ",Start.listina!AL102)</f>
        <v xml:space="preserve"> - </v>
      </c>
      <c r="D94" s="333" t="str">
        <f>IF(OR(A94&gt;Start.listina!$K$7,TYPE(VLOOKUP(A94,$V$3:$X$130,3,0))&gt;3),"",VLOOKUP(A94,$V$3:$X$130,3,0))</f>
        <v/>
      </c>
      <c r="E94" s="440" t="str">
        <f>IF(A94&gt;Start.listina!$K$7,"",IF(MIN(F94:K94)&gt;Start.listina!$Y$4,D94,MIN(F94:K94)))</f>
        <v/>
      </c>
      <c r="F94" s="333">
        <f ca="1">IF(TYPE(VLOOKUP(C94,Konečné_pořadí_1_16!$B$2:$D$17,3,0))&lt;4,VLOOKUP(C94,Konečné_pořadí_1_16!$B$2:$D$17,3,0),999)</f>
        <v>999</v>
      </c>
      <c r="G94" s="333">
        <f ca="1">IF(TYPE(VLOOKUP(C94,'KO64'!$D$4:$D$129,1,0))&lt;4,64,999)</f>
        <v>64</v>
      </c>
      <c r="H94" s="333">
        <f ca="1">IF(TYPE(VLOOKUP(C94,'KO32'!$D$4:$D$65,1,0))&lt;4,32,999)</f>
        <v>32</v>
      </c>
      <c r="I94" s="333">
        <f ca="1">IF(TYPE(VLOOKUP(C94,'KO16'!$D$4:$D$33,1,0))&lt;4,16,999)</f>
        <v>999</v>
      </c>
      <c r="J94" s="333">
        <f ca="1">IF(TYPE(VLOOKUP(C94,'KO8'!$D$4:$D$17,1,0))&lt;4,8,999)</f>
        <v>999</v>
      </c>
      <c r="K94" s="333">
        <f ca="1">IF(TYPE(VLOOKUP(C94,'KO4'!$D$4:$D$9,1,0))&lt;4,4,999)</f>
        <v>999</v>
      </c>
      <c r="M94" s="334">
        <v>92</v>
      </c>
      <c r="O94" s="333">
        <f t="shared" ca="1" si="42"/>
        <v>0</v>
      </c>
      <c r="P94" s="333">
        <f t="shared" ca="1" si="43"/>
        <v>0</v>
      </c>
      <c r="Q94" s="333">
        <f t="shared" ca="1" si="34"/>
        <v>2</v>
      </c>
      <c r="R94" s="333">
        <f t="shared" ca="1" si="35"/>
        <v>0</v>
      </c>
      <c r="S94" s="333">
        <f t="shared" ca="1" si="44"/>
        <v>16</v>
      </c>
      <c r="T94" s="333">
        <f t="shared" ca="1" si="45"/>
        <v>0</v>
      </c>
      <c r="U94" s="415">
        <f t="shared" si="59"/>
        <v>92</v>
      </c>
      <c r="V94" s="415" t="s">
        <v>2005</v>
      </c>
      <c r="W94" s="441" t="str">
        <f ca="1">IF($V94="","",CONCATENATE(TEXT($O94,"0"),IF(Start.listina!$Y$5="","",TEXT(500+$P94,"0000")),IF(Start.listina!$Y$6="","",CHOOSE(Start.listina!$Y$7,TEXT($Q94,"00"),CONCATENATE(TEXT($Q94,"00"),TEXT($S94,"000")), TEXT($R94,"00"))),TEXT(500+$P94,"0000"),IF(Start.listina!$Y$8="","",TEXT($T94,"0")),TEXT(999999*RAND(),"000000")))</f>
        <v/>
      </c>
      <c r="X94" s="417">
        <f t="shared" si="46"/>
        <v>92</v>
      </c>
      <c r="Y94" s="415">
        <f t="shared" ca="1" si="36"/>
        <v>0</v>
      </c>
      <c r="Z94" s="333">
        <f t="shared" ca="1" si="47"/>
        <v>51</v>
      </c>
      <c r="AA94" s="333" t="str">
        <f t="shared" ca="1" si="48"/>
        <v/>
      </c>
      <c r="AB94" s="333" t="str">
        <f t="shared" ca="1" si="49"/>
        <v/>
      </c>
      <c r="AC94" s="333" t="str">
        <f t="shared" ca="1" si="50"/>
        <v/>
      </c>
      <c r="AD94" s="333" t="str">
        <f t="shared" ca="1" si="51"/>
        <v/>
      </c>
      <c r="AE94" s="333" t="str">
        <f t="shared" ca="1" si="52"/>
        <v/>
      </c>
      <c r="AG94" s="333">
        <f ca="1">IF(TYPE(VLOOKUP($A94,'1.kolo'!$L$3:$L$66,1,0))&gt;3,VLOOKUP($A94,'1.kolo'!$K$3:$L$66,2,0),VLOOKUP($A94,'1.kolo'!$L$3:$O$66,4,0))</f>
        <v>51</v>
      </c>
      <c r="AH94" s="333">
        <f ca="1">IF(TYPE(VLOOKUP($A94,'1.kolo'!$L$3:$L$66,1,0))&gt;3,VLOOKUP($A94,'1.kolo'!$O$3:$Q$66,2,0),VLOOKUP($A94,'1.kolo'!$L$3:$N$66,2,0))</f>
        <v>0</v>
      </c>
      <c r="AI94" s="333">
        <f ca="1">IF(TYPE(VLOOKUP($A94,'1.kolo'!$L$3:$L$66,1,0))&gt;3,VLOOKUP($A94,'1.kolo'!$O$3:$Q$66,3,0),VLOOKUP($A94,'1.kolo'!$L$3:$N$66,3,0))</f>
        <v>0</v>
      </c>
      <c r="AJ94" s="333">
        <f t="shared" ca="1" si="53"/>
        <v>0</v>
      </c>
      <c r="AK94" s="333">
        <v>92</v>
      </c>
      <c r="AL94" s="442"/>
      <c r="AP94" s="333" t="str">
        <f ca="1">IF(TYPE(VLOOKUP($A94,'2.kolo'!$L$3:$L$66,1,0))&gt;3,IF(TYPE(VLOOKUP($A94,'2.kolo'!$K$3:$L$66,2,0))&gt;3,0,VLOOKUP($A94,'2.kolo'!$K$3:$L$66,2,0)),VLOOKUP($A94,'2.kolo'!$L$3:$O$66,4,0))</f>
        <v/>
      </c>
      <c r="AQ94" s="333">
        <f ca="1">IF(TYPE(VLOOKUP($A94,'2.kolo'!$L$3:$L$66,1,0))&gt;3,IF(TYPE(VLOOKUP($A94,'2.kolo'!$O$3:$Q$66,2,0))&gt;3,0,VLOOKUP($A94,'2.kolo'!$O$3:$Q$66,2,0)),VLOOKUP($A94,'2.kolo'!$L$3:$N$66,2,0))</f>
        <v>0</v>
      </c>
      <c r="AR94" s="333">
        <f ca="1">IF(TYPE(VLOOKUP($A94,'2.kolo'!$L$3:$L$66,1,0))&gt;3,IF(TYPE(VLOOKUP($A94,'2.kolo'!$O$3:$Q$66,3,0))&gt;3,0,VLOOKUP($A94,'2.kolo'!$O$3:$Q$66,3,0)),VLOOKUP($A94,'2.kolo'!$L$3:$N$66,3,0))</f>
        <v>0</v>
      </c>
      <c r="AS94" s="333">
        <f t="shared" ca="1" si="54"/>
        <v>0</v>
      </c>
      <c r="AT94" s="415" t="s">
        <v>2005</v>
      </c>
      <c r="AU94" s="442" t="str">
        <f ca="1">IF(AT94="","",CONCATENATE(TEXT($O94,"0"),IF(Start.listina!$Y$5="","",TEXT(500+$P94,"000")),TEXT(999999*RAND(),"000000")))</f>
        <v/>
      </c>
      <c r="AV94" s="333">
        <f t="shared" ca="1" si="37"/>
        <v>0</v>
      </c>
      <c r="AY94" s="333" t="str">
        <f ca="1">IF(TYPE(VLOOKUP($A94,'3.kolo'!$L$3:$L$66,1,0))&gt;3,IF(TYPE(VLOOKUP($A94,'3.kolo'!$K$3:$L$66,2,0))&gt;3,0,VLOOKUP($A94,'3.kolo'!$K$3:$L$66,2,0)),VLOOKUP($A94,'3.kolo'!$L$3:$O$66,4,0))</f>
        <v/>
      </c>
      <c r="AZ94" s="333">
        <f ca="1">IF(TYPE(VLOOKUP($A94,'3.kolo'!$L$3:$L$66,1,0))&gt;3,IF(TYPE(VLOOKUP($A94,'3.kolo'!$O$3:$Q$66,2,0))&gt;3,0,VLOOKUP($A94,'3.kolo'!$O$3:$Q$66,2,0)),VLOOKUP($A94,'3.kolo'!$L$3:$N$66,2,0))</f>
        <v>0</v>
      </c>
      <c r="BA94" s="333">
        <f ca="1">IF(TYPE(VLOOKUP($A94,'3.kolo'!$L$3:$L$66,1,0))&gt;3,IF(TYPE(VLOOKUP($A94,'3.kolo'!$O$3:$Q$66,3,0))&gt;3,0,VLOOKUP($A94,'3.kolo'!$O$3:$Q$66,3,0)),VLOOKUP($A94,'3.kolo'!$L$3:$N$66,3,0))</f>
        <v>0</v>
      </c>
      <c r="BB94" s="333">
        <f t="shared" ca="1" si="55"/>
        <v>0</v>
      </c>
      <c r="BC94" s="415" t="s">
        <v>2005</v>
      </c>
      <c r="BD94" s="442" t="str">
        <f ca="1">IF(BC94="","",CONCATENATE(TEXT($O94,"0"),IF(Start.listina!$Y$5="","",TEXT(500+$P94,"000")),TEXT(999999*RAND(),"000000")))</f>
        <v/>
      </c>
      <c r="BE94" s="333">
        <f t="shared" ca="1" si="38"/>
        <v>0</v>
      </c>
      <c r="BH94" s="333" t="str">
        <f ca="1">IF(TYPE(VLOOKUP($A94,'4.kolo'!$L$3:$L$66,1,0))&gt;3,IF(TYPE(VLOOKUP($A94,'4.kolo'!$K$3:$L$66,2,0))&gt;3,0,VLOOKUP($A94,'4.kolo'!$K$3:$L$66,2,0)),VLOOKUP($A94,'4.kolo'!$L$3:$O$66,4,0))</f>
        <v/>
      </c>
      <c r="BI94" s="333">
        <f ca="1">IF(TYPE(VLOOKUP($A94,'4.kolo'!$L$3:$L$66,1,0))&gt;3,IF(TYPE(VLOOKUP($A94,'4.kolo'!$O$3:$Q$66,2,0))&gt;3,0,VLOOKUP($A94,'4.kolo'!$O$3:$Q$66,2,0)),VLOOKUP($A94,'4.kolo'!$L$3:$N$66,2,0))</f>
        <v>0</v>
      </c>
      <c r="BJ94" s="333">
        <f ca="1">IF(TYPE(VLOOKUP($A94,'4.kolo'!$L$3:$L$66,1,0))&gt;3,IF(TYPE(VLOOKUP($A94,'4.kolo'!$O$3:$Q$66,3,0))&gt;3,0,VLOOKUP($A94,'4.kolo'!$O$3:$Q$66,3,0)),VLOOKUP($A94,'4.kolo'!$L$3:$N$66,3,0))</f>
        <v>0</v>
      </c>
      <c r="BK94" s="333">
        <f t="shared" ca="1" si="56"/>
        <v>0</v>
      </c>
      <c r="BL94" s="415" t="s">
        <v>2005</v>
      </c>
      <c r="BM94" s="442" t="str">
        <f ca="1">IF(BL94="","",CONCATENATE(TEXT($O94,"0"),IF(Start.listina!$Y$5="","",TEXT(500+$P94,"000")),TEXT(999999*RAND(),"000000")))</f>
        <v/>
      </c>
      <c r="BN94" s="333">
        <f t="shared" ca="1" si="39"/>
        <v>0</v>
      </c>
      <c r="BQ94" s="333" t="str">
        <f ca="1">IF(TYPE(VLOOKUP($A94,'5.kolo'!$L$3:$L$66,1,0))&gt;3,IF(TYPE(VLOOKUP($A94,'5.kolo'!$K$3:$L$66,2,0))&gt;3,0,VLOOKUP($A94,'5.kolo'!$K$3:$L$66,2,0)),VLOOKUP($A94,'5.kolo'!$L$3:$O$66,4,0))</f>
        <v/>
      </c>
      <c r="BR94" s="333">
        <f ca="1">IF(TYPE(VLOOKUP($A94,'5.kolo'!$L$3:$L$66,1,0))&gt;3,IF(TYPE(VLOOKUP($A94,'5.kolo'!$O$3:$Q$66,2,0))&gt;3,0,VLOOKUP($A94,'5.kolo'!$O$3:$Q$66,2,0)),VLOOKUP($A94,'5.kolo'!$L$3:$N$66,2,0))</f>
        <v>0</v>
      </c>
      <c r="BS94" s="333">
        <f ca="1">IF(TYPE(VLOOKUP($A94,'5.kolo'!$L$3:$L$66,1,0))&gt;3,IF(TYPE(VLOOKUP($A94,'5.kolo'!$O$3:$Q$66,3,0))&gt;3,0,VLOOKUP($A94,'5.kolo'!$O$3:$Q$66,3,0)),VLOOKUP($A94,'5.kolo'!$L$3:$N$66,3,0))</f>
        <v>0</v>
      </c>
      <c r="BT94" s="333">
        <f t="shared" ca="1" si="57"/>
        <v>0</v>
      </c>
      <c r="BU94" s="415"/>
      <c r="BV94" s="442" t="str">
        <f ca="1">IF(BU94="","",CONCATENATE(TEXT($O94,"0"),IF(Start.listina!$Y$5="","",TEXT(500+$P94,"000")),TEXT(999999*RAND(),"000000")))</f>
        <v/>
      </c>
      <c r="BW94" s="333">
        <f t="shared" ca="1" si="40"/>
        <v>0</v>
      </c>
      <c r="BZ94" s="333" t="str">
        <f ca="1">IF(TYPE(VLOOKUP($A94,'6.kolo'!$L$3:$L$66,1,0))&gt;3,IF(TYPE(VLOOKUP($A94,'6.kolo'!$K$3:$L$66,2,0))&gt;3,0,VLOOKUP($A94,'6.kolo'!$K$3:$L$66,2,0)),VLOOKUP($A94,'6.kolo'!$L$3:$O$66,4,0))</f>
        <v/>
      </c>
      <c r="CA94" s="333">
        <f ca="1">IF(TYPE(VLOOKUP($A94,'6.kolo'!$L$3:$L$66,1,0))&gt;3,IF(TYPE(VLOOKUP($A94,'6.kolo'!$O$3:$Q$66,2,0))&gt;3,0,VLOOKUP($A94,'6.kolo'!$O$3:$Q$66,2,0)),VLOOKUP($A94,'6.kolo'!$L$3:$N$66,2,0))</f>
        <v>0</v>
      </c>
      <c r="CB94" s="333">
        <f ca="1">IF(TYPE(VLOOKUP($A94,'6.kolo'!$L$3:$L$66,1,0))&gt;3,IF(TYPE(VLOOKUP($A94,'6.kolo'!$O$3:$Q$66,3,0))&gt;3,0,VLOOKUP($A94,'6.kolo'!$O$3:$Q$66,3,0)),VLOOKUP($A94,'6.kolo'!$L$3:$N$66,3,0))</f>
        <v>0</v>
      </c>
      <c r="CC94" s="333">
        <f t="shared" ca="1" si="58"/>
        <v>0</v>
      </c>
      <c r="CD94" s="415"/>
      <c r="CE94" s="442" t="str">
        <f ca="1">IF(CD94="","",CONCATENATE(TEXT($O94,"0"),IF(Start.listina!$Y$5="","",TEXT(500+$P94,"000")),TEXT(999999*RAND(),"000000")))</f>
        <v/>
      </c>
      <c r="CF94" s="333">
        <f t="shared" ca="1" si="41"/>
        <v>0</v>
      </c>
    </row>
    <row r="95" spans="1:84" x14ac:dyDescent="0.25">
      <c r="A95" s="333" t="str">
        <f>IF(OR(Start.listina!H103&gt;Start.listina!$K$7,Start.listina!G103=TRUE),"",Start.listina!H103)</f>
        <v/>
      </c>
      <c r="B95" s="333" t="str">
        <f>IF($A95&gt;Start.listina!$K$7,"",INT(($A95-1)/Start.listina!$O$7)+1)</f>
        <v/>
      </c>
      <c r="C95" s="439" t="str">
        <f>IF(OR(Start.listina!H103&gt;Start.listina!$K$7,Start.listina!G103=TRUE)," - ",Start.listina!AL103)</f>
        <v xml:space="preserve"> - </v>
      </c>
      <c r="D95" s="333" t="str">
        <f>IF(OR(A95&gt;Start.listina!$K$7,TYPE(VLOOKUP(A95,$V$3:$X$130,3,0))&gt;3),"",VLOOKUP(A95,$V$3:$X$130,3,0))</f>
        <v/>
      </c>
      <c r="E95" s="440" t="str">
        <f>IF(A95&gt;Start.listina!$K$7,"",IF(MIN(F95:K95)&gt;Start.listina!$Y$4,D95,MIN(F95:K95)))</f>
        <v/>
      </c>
      <c r="F95" s="333">
        <f ca="1">IF(TYPE(VLOOKUP(C95,Konečné_pořadí_1_16!$B$2:$D$17,3,0))&lt;4,VLOOKUP(C95,Konečné_pořadí_1_16!$B$2:$D$17,3,0),999)</f>
        <v>999</v>
      </c>
      <c r="G95" s="333">
        <f ca="1">IF(TYPE(VLOOKUP(C95,'KO64'!$D$4:$D$129,1,0))&lt;4,64,999)</f>
        <v>64</v>
      </c>
      <c r="H95" s="333">
        <f ca="1">IF(TYPE(VLOOKUP(C95,'KO32'!$D$4:$D$65,1,0))&lt;4,32,999)</f>
        <v>32</v>
      </c>
      <c r="I95" s="333">
        <f ca="1">IF(TYPE(VLOOKUP(C95,'KO16'!$D$4:$D$33,1,0))&lt;4,16,999)</f>
        <v>999</v>
      </c>
      <c r="J95" s="333">
        <f ca="1">IF(TYPE(VLOOKUP(C95,'KO8'!$D$4:$D$17,1,0))&lt;4,8,999)</f>
        <v>999</v>
      </c>
      <c r="K95" s="333">
        <f ca="1">IF(TYPE(VLOOKUP(C95,'KO4'!$D$4:$D$9,1,0))&lt;4,4,999)</f>
        <v>999</v>
      </c>
      <c r="M95" s="334">
        <v>93</v>
      </c>
      <c r="O95" s="333">
        <f t="shared" ca="1" si="42"/>
        <v>0</v>
      </c>
      <c r="P95" s="333">
        <f t="shared" ca="1" si="43"/>
        <v>0</v>
      </c>
      <c r="Q95" s="333">
        <f t="shared" ca="1" si="34"/>
        <v>2</v>
      </c>
      <c r="R95" s="333">
        <f t="shared" ca="1" si="35"/>
        <v>0</v>
      </c>
      <c r="S95" s="333">
        <f t="shared" ca="1" si="44"/>
        <v>16</v>
      </c>
      <c r="T95" s="333">
        <f t="shared" ca="1" si="45"/>
        <v>0</v>
      </c>
      <c r="U95" s="415">
        <f t="shared" si="59"/>
        <v>93</v>
      </c>
      <c r="V95" s="415" t="s">
        <v>2005</v>
      </c>
      <c r="W95" s="441" t="str">
        <f ca="1">IF($V95="","",CONCATENATE(TEXT($O95,"0"),IF(Start.listina!$Y$5="","",TEXT(500+$P95,"0000")),IF(Start.listina!$Y$6="","",CHOOSE(Start.listina!$Y$7,TEXT($Q95,"00"),CONCATENATE(TEXT($Q95,"00"),TEXT($S95,"000")), TEXT($R95,"00"))),TEXT(500+$P95,"0000"),IF(Start.listina!$Y$8="","",TEXT($T95,"0")),TEXT(999999*RAND(),"000000")))</f>
        <v/>
      </c>
      <c r="X95" s="417">
        <f t="shared" si="46"/>
        <v>93</v>
      </c>
      <c r="Y95" s="415">
        <f t="shared" ca="1" si="36"/>
        <v>0</v>
      </c>
      <c r="Z95" s="333">
        <f t="shared" ca="1" si="47"/>
        <v>51</v>
      </c>
      <c r="AA95" s="333" t="str">
        <f t="shared" ca="1" si="48"/>
        <v/>
      </c>
      <c r="AB95" s="333" t="str">
        <f t="shared" ca="1" si="49"/>
        <v/>
      </c>
      <c r="AC95" s="333" t="str">
        <f t="shared" ca="1" si="50"/>
        <v/>
      </c>
      <c r="AD95" s="333" t="str">
        <f t="shared" ca="1" si="51"/>
        <v/>
      </c>
      <c r="AE95" s="333" t="str">
        <f t="shared" ca="1" si="52"/>
        <v/>
      </c>
      <c r="AG95" s="333">
        <f ca="1">IF(TYPE(VLOOKUP($A95,'1.kolo'!$L$3:$L$66,1,0))&gt;3,VLOOKUP($A95,'1.kolo'!$K$3:$L$66,2,0),VLOOKUP($A95,'1.kolo'!$L$3:$O$66,4,0))</f>
        <v>51</v>
      </c>
      <c r="AH95" s="333">
        <f ca="1">IF(TYPE(VLOOKUP($A95,'1.kolo'!$L$3:$L$66,1,0))&gt;3,VLOOKUP($A95,'1.kolo'!$O$3:$Q$66,2,0),VLOOKUP($A95,'1.kolo'!$L$3:$N$66,2,0))</f>
        <v>0</v>
      </c>
      <c r="AI95" s="333">
        <f ca="1">IF(TYPE(VLOOKUP($A95,'1.kolo'!$L$3:$L$66,1,0))&gt;3,VLOOKUP($A95,'1.kolo'!$O$3:$Q$66,3,0),VLOOKUP($A95,'1.kolo'!$L$3:$N$66,3,0))</f>
        <v>0</v>
      </c>
      <c r="AJ95" s="333">
        <f t="shared" ca="1" si="53"/>
        <v>0</v>
      </c>
      <c r="AK95" s="333">
        <v>93</v>
      </c>
      <c r="AL95" s="442"/>
      <c r="AP95" s="333" t="str">
        <f ca="1">IF(TYPE(VLOOKUP($A95,'2.kolo'!$L$3:$L$66,1,0))&gt;3,IF(TYPE(VLOOKUP($A95,'2.kolo'!$K$3:$L$66,2,0))&gt;3,0,VLOOKUP($A95,'2.kolo'!$K$3:$L$66,2,0)),VLOOKUP($A95,'2.kolo'!$L$3:$O$66,4,0))</f>
        <v/>
      </c>
      <c r="AQ95" s="333">
        <f ca="1">IF(TYPE(VLOOKUP($A95,'2.kolo'!$L$3:$L$66,1,0))&gt;3,IF(TYPE(VLOOKUP($A95,'2.kolo'!$O$3:$Q$66,2,0))&gt;3,0,VLOOKUP($A95,'2.kolo'!$O$3:$Q$66,2,0)),VLOOKUP($A95,'2.kolo'!$L$3:$N$66,2,0))</f>
        <v>0</v>
      </c>
      <c r="AR95" s="333">
        <f ca="1">IF(TYPE(VLOOKUP($A95,'2.kolo'!$L$3:$L$66,1,0))&gt;3,IF(TYPE(VLOOKUP($A95,'2.kolo'!$O$3:$Q$66,3,0))&gt;3,0,VLOOKUP($A95,'2.kolo'!$O$3:$Q$66,3,0)),VLOOKUP($A95,'2.kolo'!$L$3:$N$66,3,0))</f>
        <v>0</v>
      </c>
      <c r="AS95" s="333">
        <f t="shared" ca="1" si="54"/>
        <v>0</v>
      </c>
      <c r="AT95" s="415" t="s">
        <v>2005</v>
      </c>
      <c r="AU95" s="442" t="str">
        <f ca="1">IF(AT95="","",CONCATENATE(TEXT($O95,"0"),IF(Start.listina!$Y$5="","",TEXT(500+$P95,"000")),TEXT(999999*RAND(),"000000")))</f>
        <v/>
      </c>
      <c r="AV95" s="333">
        <f t="shared" ca="1" si="37"/>
        <v>0</v>
      </c>
      <c r="AY95" s="333" t="str">
        <f ca="1">IF(TYPE(VLOOKUP($A95,'3.kolo'!$L$3:$L$66,1,0))&gt;3,IF(TYPE(VLOOKUP($A95,'3.kolo'!$K$3:$L$66,2,0))&gt;3,0,VLOOKUP($A95,'3.kolo'!$K$3:$L$66,2,0)),VLOOKUP($A95,'3.kolo'!$L$3:$O$66,4,0))</f>
        <v/>
      </c>
      <c r="AZ95" s="333">
        <f ca="1">IF(TYPE(VLOOKUP($A95,'3.kolo'!$L$3:$L$66,1,0))&gt;3,IF(TYPE(VLOOKUP($A95,'3.kolo'!$O$3:$Q$66,2,0))&gt;3,0,VLOOKUP($A95,'3.kolo'!$O$3:$Q$66,2,0)),VLOOKUP($A95,'3.kolo'!$L$3:$N$66,2,0))</f>
        <v>0</v>
      </c>
      <c r="BA95" s="333">
        <f ca="1">IF(TYPE(VLOOKUP($A95,'3.kolo'!$L$3:$L$66,1,0))&gt;3,IF(TYPE(VLOOKUP($A95,'3.kolo'!$O$3:$Q$66,3,0))&gt;3,0,VLOOKUP($A95,'3.kolo'!$O$3:$Q$66,3,0)),VLOOKUP($A95,'3.kolo'!$L$3:$N$66,3,0))</f>
        <v>0</v>
      </c>
      <c r="BB95" s="333">
        <f t="shared" ca="1" si="55"/>
        <v>0</v>
      </c>
      <c r="BC95" s="415" t="s">
        <v>2005</v>
      </c>
      <c r="BD95" s="442" t="str">
        <f ca="1">IF(BC95="","",CONCATENATE(TEXT($O95,"0"),IF(Start.listina!$Y$5="","",TEXT(500+$P95,"000")),TEXT(999999*RAND(),"000000")))</f>
        <v/>
      </c>
      <c r="BE95" s="333">
        <f t="shared" ca="1" si="38"/>
        <v>0</v>
      </c>
      <c r="BH95" s="333" t="str">
        <f ca="1">IF(TYPE(VLOOKUP($A95,'4.kolo'!$L$3:$L$66,1,0))&gt;3,IF(TYPE(VLOOKUP($A95,'4.kolo'!$K$3:$L$66,2,0))&gt;3,0,VLOOKUP($A95,'4.kolo'!$K$3:$L$66,2,0)),VLOOKUP($A95,'4.kolo'!$L$3:$O$66,4,0))</f>
        <v/>
      </c>
      <c r="BI95" s="333">
        <f ca="1">IF(TYPE(VLOOKUP($A95,'4.kolo'!$L$3:$L$66,1,0))&gt;3,IF(TYPE(VLOOKUP($A95,'4.kolo'!$O$3:$Q$66,2,0))&gt;3,0,VLOOKUP($A95,'4.kolo'!$O$3:$Q$66,2,0)),VLOOKUP($A95,'4.kolo'!$L$3:$N$66,2,0))</f>
        <v>0</v>
      </c>
      <c r="BJ95" s="333">
        <f ca="1">IF(TYPE(VLOOKUP($A95,'4.kolo'!$L$3:$L$66,1,0))&gt;3,IF(TYPE(VLOOKUP($A95,'4.kolo'!$O$3:$Q$66,3,0))&gt;3,0,VLOOKUP($A95,'4.kolo'!$O$3:$Q$66,3,0)),VLOOKUP($A95,'4.kolo'!$L$3:$N$66,3,0))</f>
        <v>0</v>
      </c>
      <c r="BK95" s="333">
        <f t="shared" ca="1" si="56"/>
        <v>0</v>
      </c>
      <c r="BL95" s="415" t="s">
        <v>2005</v>
      </c>
      <c r="BM95" s="442" t="str">
        <f ca="1">IF(BL95="","",CONCATENATE(TEXT($O95,"0"),IF(Start.listina!$Y$5="","",TEXT(500+$P95,"000")),TEXT(999999*RAND(),"000000")))</f>
        <v/>
      </c>
      <c r="BN95" s="333">
        <f t="shared" ca="1" si="39"/>
        <v>0</v>
      </c>
      <c r="BQ95" s="333" t="str">
        <f ca="1">IF(TYPE(VLOOKUP($A95,'5.kolo'!$L$3:$L$66,1,0))&gt;3,IF(TYPE(VLOOKUP($A95,'5.kolo'!$K$3:$L$66,2,0))&gt;3,0,VLOOKUP($A95,'5.kolo'!$K$3:$L$66,2,0)),VLOOKUP($A95,'5.kolo'!$L$3:$O$66,4,0))</f>
        <v/>
      </c>
      <c r="BR95" s="333">
        <f ca="1">IF(TYPE(VLOOKUP($A95,'5.kolo'!$L$3:$L$66,1,0))&gt;3,IF(TYPE(VLOOKUP($A95,'5.kolo'!$O$3:$Q$66,2,0))&gt;3,0,VLOOKUP($A95,'5.kolo'!$O$3:$Q$66,2,0)),VLOOKUP($A95,'5.kolo'!$L$3:$N$66,2,0))</f>
        <v>0</v>
      </c>
      <c r="BS95" s="333">
        <f ca="1">IF(TYPE(VLOOKUP($A95,'5.kolo'!$L$3:$L$66,1,0))&gt;3,IF(TYPE(VLOOKUP($A95,'5.kolo'!$O$3:$Q$66,3,0))&gt;3,0,VLOOKUP($A95,'5.kolo'!$O$3:$Q$66,3,0)),VLOOKUP($A95,'5.kolo'!$L$3:$N$66,3,0))</f>
        <v>0</v>
      </c>
      <c r="BT95" s="333">
        <f t="shared" ca="1" si="57"/>
        <v>0</v>
      </c>
      <c r="BU95" s="415"/>
      <c r="BV95" s="442" t="str">
        <f ca="1">IF(BU95="","",CONCATENATE(TEXT($O95,"0"),IF(Start.listina!$Y$5="","",TEXT(500+$P95,"000")),TEXT(999999*RAND(),"000000")))</f>
        <v/>
      </c>
      <c r="BW95" s="333">
        <f t="shared" ca="1" si="40"/>
        <v>0</v>
      </c>
      <c r="BZ95" s="333" t="str">
        <f ca="1">IF(TYPE(VLOOKUP($A95,'6.kolo'!$L$3:$L$66,1,0))&gt;3,IF(TYPE(VLOOKUP($A95,'6.kolo'!$K$3:$L$66,2,0))&gt;3,0,VLOOKUP($A95,'6.kolo'!$K$3:$L$66,2,0)),VLOOKUP($A95,'6.kolo'!$L$3:$O$66,4,0))</f>
        <v/>
      </c>
      <c r="CA95" s="333">
        <f ca="1">IF(TYPE(VLOOKUP($A95,'6.kolo'!$L$3:$L$66,1,0))&gt;3,IF(TYPE(VLOOKUP($A95,'6.kolo'!$O$3:$Q$66,2,0))&gt;3,0,VLOOKUP($A95,'6.kolo'!$O$3:$Q$66,2,0)),VLOOKUP($A95,'6.kolo'!$L$3:$N$66,2,0))</f>
        <v>0</v>
      </c>
      <c r="CB95" s="333">
        <f ca="1">IF(TYPE(VLOOKUP($A95,'6.kolo'!$L$3:$L$66,1,0))&gt;3,IF(TYPE(VLOOKUP($A95,'6.kolo'!$O$3:$Q$66,3,0))&gt;3,0,VLOOKUP($A95,'6.kolo'!$O$3:$Q$66,3,0)),VLOOKUP($A95,'6.kolo'!$L$3:$N$66,3,0))</f>
        <v>0</v>
      </c>
      <c r="CC95" s="333">
        <f t="shared" ca="1" si="58"/>
        <v>0</v>
      </c>
      <c r="CD95" s="415"/>
      <c r="CE95" s="442" t="str">
        <f ca="1">IF(CD95="","",CONCATENATE(TEXT($O95,"0"),IF(Start.listina!$Y$5="","",TEXT(500+$P95,"000")),TEXT(999999*RAND(),"000000")))</f>
        <v/>
      </c>
      <c r="CF95" s="333">
        <f t="shared" ca="1" si="41"/>
        <v>0</v>
      </c>
    </row>
    <row r="96" spans="1:84" x14ac:dyDescent="0.25">
      <c r="A96" s="333" t="str">
        <f>IF(OR(Start.listina!H104&gt;Start.listina!$K$7,Start.listina!G104=TRUE),"",Start.listina!H104)</f>
        <v/>
      </c>
      <c r="B96" s="333" t="str">
        <f>IF($A96&gt;Start.listina!$K$7,"",INT(($A96-1)/Start.listina!$O$7)+1)</f>
        <v/>
      </c>
      <c r="C96" s="439" t="str">
        <f>IF(OR(Start.listina!H104&gt;Start.listina!$K$7,Start.listina!G104=TRUE)," - ",Start.listina!AL104)</f>
        <v xml:space="preserve"> - </v>
      </c>
      <c r="D96" s="333" t="str">
        <f>IF(OR(A96&gt;Start.listina!$K$7,TYPE(VLOOKUP(A96,$V$3:$X$130,3,0))&gt;3),"",VLOOKUP(A96,$V$3:$X$130,3,0))</f>
        <v/>
      </c>
      <c r="E96" s="440" t="str">
        <f>IF(A96&gt;Start.listina!$K$7,"",IF(MIN(F96:K96)&gt;Start.listina!$Y$4,D96,MIN(F96:K96)))</f>
        <v/>
      </c>
      <c r="F96" s="333">
        <f ca="1">IF(TYPE(VLOOKUP(C96,Konečné_pořadí_1_16!$B$2:$D$17,3,0))&lt;4,VLOOKUP(C96,Konečné_pořadí_1_16!$B$2:$D$17,3,0),999)</f>
        <v>999</v>
      </c>
      <c r="G96" s="333">
        <f ca="1">IF(TYPE(VLOOKUP(C96,'KO64'!$D$4:$D$129,1,0))&lt;4,64,999)</f>
        <v>64</v>
      </c>
      <c r="H96" s="333">
        <f ca="1">IF(TYPE(VLOOKUP(C96,'KO32'!$D$4:$D$65,1,0))&lt;4,32,999)</f>
        <v>32</v>
      </c>
      <c r="I96" s="333">
        <f ca="1">IF(TYPE(VLOOKUP(C96,'KO16'!$D$4:$D$33,1,0))&lt;4,16,999)</f>
        <v>999</v>
      </c>
      <c r="J96" s="333">
        <f ca="1">IF(TYPE(VLOOKUP(C96,'KO8'!$D$4:$D$17,1,0))&lt;4,8,999)</f>
        <v>999</v>
      </c>
      <c r="K96" s="333">
        <f ca="1">IF(TYPE(VLOOKUP(C96,'KO4'!$D$4:$D$9,1,0))&lt;4,4,999)</f>
        <v>999</v>
      </c>
      <c r="M96" s="334">
        <v>94</v>
      </c>
      <c r="O96" s="333">
        <f t="shared" ca="1" si="42"/>
        <v>0</v>
      </c>
      <c r="P96" s="333">
        <f t="shared" ca="1" si="43"/>
        <v>0</v>
      </c>
      <c r="Q96" s="333">
        <f t="shared" ca="1" si="34"/>
        <v>2</v>
      </c>
      <c r="R96" s="333">
        <f t="shared" ca="1" si="35"/>
        <v>0</v>
      </c>
      <c r="S96" s="333">
        <f t="shared" ca="1" si="44"/>
        <v>16</v>
      </c>
      <c r="T96" s="333">
        <f t="shared" ca="1" si="45"/>
        <v>0</v>
      </c>
      <c r="U96" s="415">
        <f t="shared" si="59"/>
        <v>94</v>
      </c>
      <c r="V96" s="415" t="s">
        <v>2005</v>
      </c>
      <c r="W96" s="441" t="str">
        <f ca="1">IF($V96="","",CONCATENATE(TEXT($O96,"0"),IF(Start.listina!$Y$5="","",TEXT(500+$P96,"0000")),IF(Start.listina!$Y$6="","",CHOOSE(Start.listina!$Y$7,TEXT($Q96,"00"),CONCATENATE(TEXT($Q96,"00"),TEXT($S96,"000")), TEXT($R96,"00"))),TEXT(500+$P96,"0000"),IF(Start.listina!$Y$8="","",TEXT($T96,"0")),TEXT(999999*RAND(),"000000")))</f>
        <v/>
      </c>
      <c r="X96" s="417">
        <f t="shared" si="46"/>
        <v>94</v>
      </c>
      <c r="Y96" s="415">
        <f t="shared" ca="1" si="36"/>
        <v>0</v>
      </c>
      <c r="Z96" s="333">
        <f t="shared" ca="1" si="47"/>
        <v>51</v>
      </c>
      <c r="AA96" s="333" t="str">
        <f t="shared" ca="1" si="48"/>
        <v/>
      </c>
      <c r="AB96" s="333" t="str">
        <f t="shared" ca="1" si="49"/>
        <v/>
      </c>
      <c r="AC96" s="333" t="str">
        <f t="shared" ca="1" si="50"/>
        <v/>
      </c>
      <c r="AD96" s="333" t="str">
        <f t="shared" ca="1" si="51"/>
        <v/>
      </c>
      <c r="AE96" s="333" t="str">
        <f t="shared" ca="1" si="52"/>
        <v/>
      </c>
      <c r="AG96" s="333">
        <f ca="1">IF(TYPE(VLOOKUP($A96,'1.kolo'!$L$3:$L$66,1,0))&gt;3,VLOOKUP($A96,'1.kolo'!$K$3:$L$66,2,0),VLOOKUP($A96,'1.kolo'!$L$3:$O$66,4,0))</f>
        <v>51</v>
      </c>
      <c r="AH96" s="333">
        <f ca="1">IF(TYPE(VLOOKUP($A96,'1.kolo'!$L$3:$L$66,1,0))&gt;3,VLOOKUP($A96,'1.kolo'!$O$3:$Q$66,2,0),VLOOKUP($A96,'1.kolo'!$L$3:$N$66,2,0))</f>
        <v>0</v>
      </c>
      <c r="AI96" s="333">
        <f ca="1">IF(TYPE(VLOOKUP($A96,'1.kolo'!$L$3:$L$66,1,0))&gt;3,VLOOKUP($A96,'1.kolo'!$O$3:$Q$66,3,0),VLOOKUP($A96,'1.kolo'!$L$3:$N$66,3,0))</f>
        <v>0</v>
      </c>
      <c r="AJ96" s="333">
        <f t="shared" ca="1" si="53"/>
        <v>0</v>
      </c>
      <c r="AK96" s="333">
        <v>94</v>
      </c>
      <c r="AL96" s="442"/>
      <c r="AP96" s="333" t="str">
        <f ca="1">IF(TYPE(VLOOKUP($A96,'2.kolo'!$L$3:$L$66,1,0))&gt;3,IF(TYPE(VLOOKUP($A96,'2.kolo'!$K$3:$L$66,2,0))&gt;3,0,VLOOKUP($A96,'2.kolo'!$K$3:$L$66,2,0)),VLOOKUP($A96,'2.kolo'!$L$3:$O$66,4,0))</f>
        <v/>
      </c>
      <c r="AQ96" s="333">
        <f ca="1">IF(TYPE(VLOOKUP($A96,'2.kolo'!$L$3:$L$66,1,0))&gt;3,IF(TYPE(VLOOKUP($A96,'2.kolo'!$O$3:$Q$66,2,0))&gt;3,0,VLOOKUP($A96,'2.kolo'!$O$3:$Q$66,2,0)),VLOOKUP($A96,'2.kolo'!$L$3:$N$66,2,0))</f>
        <v>0</v>
      </c>
      <c r="AR96" s="333">
        <f ca="1">IF(TYPE(VLOOKUP($A96,'2.kolo'!$L$3:$L$66,1,0))&gt;3,IF(TYPE(VLOOKUP($A96,'2.kolo'!$O$3:$Q$66,3,0))&gt;3,0,VLOOKUP($A96,'2.kolo'!$O$3:$Q$66,3,0)),VLOOKUP($A96,'2.kolo'!$L$3:$N$66,3,0))</f>
        <v>0</v>
      </c>
      <c r="AS96" s="333">
        <f t="shared" ca="1" si="54"/>
        <v>0</v>
      </c>
      <c r="AT96" s="415" t="s">
        <v>2005</v>
      </c>
      <c r="AU96" s="442" t="str">
        <f ca="1">IF(AT96="","",CONCATENATE(TEXT($O96,"0"),IF(Start.listina!$Y$5="","",TEXT(500+$P96,"000")),TEXT(999999*RAND(),"000000")))</f>
        <v/>
      </c>
      <c r="AV96" s="333">
        <f t="shared" ca="1" si="37"/>
        <v>0</v>
      </c>
      <c r="AY96" s="333" t="str">
        <f ca="1">IF(TYPE(VLOOKUP($A96,'3.kolo'!$L$3:$L$66,1,0))&gt;3,IF(TYPE(VLOOKUP($A96,'3.kolo'!$K$3:$L$66,2,0))&gt;3,0,VLOOKUP($A96,'3.kolo'!$K$3:$L$66,2,0)),VLOOKUP($A96,'3.kolo'!$L$3:$O$66,4,0))</f>
        <v/>
      </c>
      <c r="AZ96" s="333">
        <f ca="1">IF(TYPE(VLOOKUP($A96,'3.kolo'!$L$3:$L$66,1,0))&gt;3,IF(TYPE(VLOOKUP($A96,'3.kolo'!$O$3:$Q$66,2,0))&gt;3,0,VLOOKUP($A96,'3.kolo'!$O$3:$Q$66,2,0)),VLOOKUP($A96,'3.kolo'!$L$3:$N$66,2,0))</f>
        <v>0</v>
      </c>
      <c r="BA96" s="333">
        <f ca="1">IF(TYPE(VLOOKUP($A96,'3.kolo'!$L$3:$L$66,1,0))&gt;3,IF(TYPE(VLOOKUP($A96,'3.kolo'!$O$3:$Q$66,3,0))&gt;3,0,VLOOKUP($A96,'3.kolo'!$O$3:$Q$66,3,0)),VLOOKUP($A96,'3.kolo'!$L$3:$N$66,3,0))</f>
        <v>0</v>
      </c>
      <c r="BB96" s="333">
        <f t="shared" ca="1" si="55"/>
        <v>0</v>
      </c>
      <c r="BC96" s="415" t="s">
        <v>2005</v>
      </c>
      <c r="BD96" s="442" t="str">
        <f ca="1">IF(BC96="","",CONCATENATE(TEXT($O96,"0"),IF(Start.listina!$Y$5="","",TEXT(500+$P96,"000")),TEXT(999999*RAND(),"000000")))</f>
        <v/>
      </c>
      <c r="BE96" s="333">
        <f t="shared" ca="1" si="38"/>
        <v>0</v>
      </c>
      <c r="BH96" s="333" t="str">
        <f ca="1">IF(TYPE(VLOOKUP($A96,'4.kolo'!$L$3:$L$66,1,0))&gt;3,IF(TYPE(VLOOKUP($A96,'4.kolo'!$K$3:$L$66,2,0))&gt;3,0,VLOOKUP($A96,'4.kolo'!$K$3:$L$66,2,0)),VLOOKUP($A96,'4.kolo'!$L$3:$O$66,4,0))</f>
        <v/>
      </c>
      <c r="BI96" s="333">
        <f ca="1">IF(TYPE(VLOOKUP($A96,'4.kolo'!$L$3:$L$66,1,0))&gt;3,IF(TYPE(VLOOKUP($A96,'4.kolo'!$O$3:$Q$66,2,0))&gt;3,0,VLOOKUP($A96,'4.kolo'!$O$3:$Q$66,2,0)),VLOOKUP($A96,'4.kolo'!$L$3:$N$66,2,0))</f>
        <v>0</v>
      </c>
      <c r="BJ96" s="333">
        <f ca="1">IF(TYPE(VLOOKUP($A96,'4.kolo'!$L$3:$L$66,1,0))&gt;3,IF(TYPE(VLOOKUP($A96,'4.kolo'!$O$3:$Q$66,3,0))&gt;3,0,VLOOKUP($A96,'4.kolo'!$O$3:$Q$66,3,0)),VLOOKUP($A96,'4.kolo'!$L$3:$N$66,3,0))</f>
        <v>0</v>
      </c>
      <c r="BK96" s="333">
        <f t="shared" ca="1" si="56"/>
        <v>0</v>
      </c>
      <c r="BL96" s="415" t="s">
        <v>2005</v>
      </c>
      <c r="BM96" s="442" t="str">
        <f ca="1">IF(BL96="","",CONCATENATE(TEXT($O96,"0"),IF(Start.listina!$Y$5="","",TEXT(500+$P96,"000")),TEXT(999999*RAND(),"000000")))</f>
        <v/>
      </c>
      <c r="BN96" s="333">
        <f t="shared" ca="1" si="39"/>
        <v>0</v>
      </c>
      <c r="BQ96" s="333" t="str">
        <f ca="1">IF(TYPE(VLOOKUP($A96,'5.kolo'!$L$3:$L$66,1,0))&gt;3,IF(TYPE(VLOOKUP($A96,'5.kolo'!$K$3:$L$66,2,0))&gt;3,0,VLOOKUP($A96,'5.kolo'!$K$3:$L$66,2,0)),VLOOKUP($A96,'5.kolo'!$L$3:$O$66,4,0))</f>
        <v/>
      </c>
      <c r="BR96" s="333">
        <f ca="1">IF(TYPE(VLOOKUP($A96,'5.kolo'!$L$3:$L$66,1,0))&gt;3,IF(TYPE(VLOOKUP($A96,'5.kolo'!$O$3:$Q$66,2,0))&gt;3,0,VLOOKUP($A96,'5.kolo'!$O$3:$Q$66,2,0)),VLOOKUP($A96,'5.kolo'!$L$3:$N$66,2,0))</f>
        <v>0</v>
      </c>
      <c r="BS96" s="333">
        <f ca="1">IF(TYPE(VLOOKUP($A96,'5.kolo'!$L$3:$L$66,1,0))&gt;3,IF(TYPE(VLOOKUP($A96,'5.kolo'!$O$3:$Q$66,3,0))&gt;3,0,VLOOKUP($A96,'5.kolo'!$O$3:$Q$66,3,0)),VLOOKUP($A96,'5.kolo'!$L$3:$N$66,3,0))</f>
        <v>0</v>
      </c>
      <c r="BT96" s="333">
        <f t="shared" ca="1" si="57"/>
        <v>0</v>
      </c>
      <c r="BU96" s="415"/>
      <c r="BV96" s="442" t="str">
        <f ca="1">IF(BU96="","",CONCATENATE(TEXT($O96,"0"),IF(Start.listina!$Y$5="","",TEXT(500+$P96,"000")),TEXT(999999*RAND(),"000000")))</f>
        <v/>
      </c>
      <c r="BW96" s="333">
        <f t="shared" ca="1" si="40"/>
        <v>0</v>
      </c>
      <c r="BZ96" s="333" t="str">
        <f ca="1">IF(TYPE(VLOOKUP($A96,'6.kolo'!$L$3:$L$66,1,0))&gt;3,IF(TYPE(VLOOKUP($A96,'6.kolo'!$K$3:$L$66,2,0))&gt;3,0,VLOOKUP($A96,'6.kolo'!$K$3:$L$66,2,0)),VLOOKUP($A96,'6.kolo'!$L$3:$O$66,4,0))</f>
        <v/>
      </c>
      <c r="CA96" s="333">
        <f ca="1">IF(TYPE(VLOOKUP($A96,'6.kolo'!$L$3:$L$66,1,0))&gt;3,IF(TYPE(VLOOKUP($A96,'6.kolo'!$O$3:$Q$66,2,0))&gt;3,0,VLOOKUP($A96,'6.kolo'!$O$3:$Q$66,2,0)),VLOOKUP($A96,'6.kolo'!$L$3:$N$66,2,0))</f>
        <v>0</v>
      </c>
      <c r="CB96" s="333">
        <f ca="1">IF(TYPE(VLOOKUP($A96,'6.kolo'!$L$3:$L$66,1,0))&gt;3,IF(TYPE(VLOOKUP($A96,'6.kolo'!$O$3:$Q$66,3,0))&gt;3,0,VLOOKUP($A96,'6.kolo'!$O$3:$Q$66,3,0)),VLOOKUP($A96,'6.kolo'!$L$3:$N$66,3,0))</f>
        <v>0</v>
      </c>
      <c r="CC96" s="333">
        <f t="shared" ca="1" si="58"/>
        <v>0</v>
      </c>
      <c r="CD96" s="415"/>
      <c r="CE96" s="442" t="str">
        <f ca="1">IF(CD96="","",CONCATENATE(TEXT($O96,"0"),IF(Start.listina!$Y$5="","",TEXT(500+$P96,"000")),TEXT(999999*RAND(),"000000")))</f>
        <v/>
      </c>
      <c r="CF96" s="333">
        <f t="shared" ca="1" si="41"/>
        <v>0</v>
      </c>
    </row>
    <row r="97" spans="1:84" x14ac:dyDescent="0.25">
      <c r="A97" s="333" t="str">
        <f>IF(OR(Start.listina!H105&gt;Start.listina!$K$7,Start.listina!G105=TRUE),"",Start.listina!H105)</f>
        <v/>
      </c>
      <c r="B97" s="333" t="str">
        <f>IF($A97&gt;Start.listina!$K$7,"",INT(($A97-1)/Start.listina!$O$7)+1)</f>
        <v/>
      </c>
      <c r="C97" s="439" t="str">
        <f>IF(OR(Start.listina!H105&gt;Start.listina!$K$7,Start.listina!G105=TRUE)," - ",Start.listina!AL105)</f>
        <v xml:space="preserve"> - </v>
      </c>
      <c r="D97" s="333" t="str">
        <f>IF(OR(A97&gt;Start.listina!$K$7,TYPE(VLOOKUP(A97,$V$3:$X$130,3,0))&gt;3),"",VLOOKUP(A97,$V$3:$X$130,3,0))</f>
        <v/>
      </c>
      <c r="E97" s="440" t="str">
        <f>IF(A97&gt;Start.listina!$K$7,"",IF(MIN(F97:K97)&gt;Start.listina!$Y$4,D97,MIN(F97:K97)))</f>
        <v/>
      </c>
      <c r="F97" s="333">
        <f ca="1">IF(TYPE(VLOOKUP(C97,Konečné_pořadí_1_16!$B$2:$D$17,3,0))&lt;4,VLOOKUP(C97,Konečné_pořadí_1_16!$B$2:$D$17,3,0),999)</f>
        <v>999</v>
      </c>
      <c r="G97" s="333">
        <f ca="1">IF(TYPE(VLOOKUP(C97,'KO64'!$D$4:$D$129,1,0))&lt;4,64,999)</f>
        <v>64</v>
      </c>
      <c r="H97" s="333">
        <f ca="1">IF(TYPE(VLOOKUP(C97,'KO32'!$D$4:$D$65,1,0))&lt;4,32,999)</f>
        <v>32</v>
      </c>
      <c r="I97" s="333">
        <f ca="1">IF(TYPE(VLOOKUP(C97,'KO16'!$D$4:$D$33,1,0))&lt;4,16,999)</f>
        <v>999</v>
      </c>
      <c r="J97" s="333">
        <f ca="1">IF(TYPE(VLOOKUP(C97,'KO8'!$D$4:$D$17,1,0))&lt;4,8,999)</f>
        <v>999</v>
      </c>
      <c r="K97" s="333">
        <f ca="1">IF(TYPE(VLOOKUP(C97,'KO4'!$D$4:$D$9,1,0))&lt;4,4,999)</f>
        <v>999</v>
      </c>
      <c r="M97" s="334">
        <v>95</v>
      </c>
      <c r="O97" s="333">
        <f t="shared" ca="1" si="42"/>
        <v>0</v>
      </c>
      <c r="P97" s="333">
        <f t="shared" ca="1" si="43"/>
        <v>0</v>
      </c>
      <c r="Q97" s="333">
        <f t="shared" ca="1" si="34"/>
        <v>2</v>
      </c>
      <c r="R97" s="333">
        <f t="shared" ca="1" si="35"/>
        <v>0</v>
      </c>
      <c r="S97" s="333">
        <f t="shared" ca="1" si="44"/>
        <v>16</v>
      </c>
      <c r="T97" s="333">
        <f t="shared" ca="1" si="45"/>
        <v>0</v>
      </c>
      <c r="U97" s="415">
        <f t="shared" si="59"/>
        <v>95</v>
      </c>
      <c r="V97" s="415" t="s">
        <v>2005</v>
      </c>
      <c r="W97" s="441" t="str">
        <f ca="1">IF($V97="","",CONCATENATE(TEXT($O97,"0"),IF(Start.listina!$Y$5="","",TEXT(500+$P97,"0000")),IF(Start.listina!$Y$6="","",CHOOSE(Start.listina!$Y$7,TEXT($Q97,"00"),CONCATENATE(TEXT($Q97,"00"),TEXT($S97,"000")), TEXT($R97,"00"))),TEXT(500+$P97,"0000"),IF(Start.listina!$Y$8="","",TEXT($T97,"0")),TEXT(999999*RAND(),"000000")))</f>
        <v/>
      </c>
      <c r="X97" s="417">
        <f t="shared" si="46"/>
        <v>95</v>
      </c>
      <c r="Y97" s="415">
        <f t="shared" ca="1" si="36"/>
        <v>0</v>
      </c>
      <c r="Z97" s="333">
        <f t="shared" ca="1" si="47"/>
        <v>51</v>
      </c>
      <c r="AA97" s="333" t="str">
        <f t="shared" ca="1" si="48"/>
        <v/>
      </c>
      <c r="AB97" s="333" t="str">
        <f t="shared" ca="1" si="49"/>
        <v/>
      </c>
      <c r="AC97" s="333" t="str">
        <f t="shared" ca="1" si="50"/>
        <v/>
      </c>
      <c r="AD97" s="333" t="str">
        <f t="shared" ca="1" si="51"/>
        <v/>
      </c>
      <c r="AE97" s="333" t="str">
        <f t="shared" ca="1" si="52"/>
        <v/>
      </c>
      <c r="AG97" s="333">
        <f ca="1">IF(TYPE(VLOOKUP($A97,'1.kolo'!$L$3:$L$66,1,0))&gt;3,VLOOKUP($A97,'1.kolo'!$K$3:$L$66,2,0),VLOOKUP($A97,'1.kolo'!$L$3:$O$66,4,0))</f>
        <v>51</v>
      </c>
      <c r="AH97" s="333">
        <f ca="1">IF(TYPE(VLOOKUP($A97,'1.kolo'!$L$3:$L$66,1,0))&gt;3,VLOOKUP($A97,'1.kolo'!$O$3:$Q$66,2,0),VLOOKUP($A97,'1.kolo'!$L$3:$N$66,2,0))</f>
        <v>0</v>
      </c>
      <c r="AI97" s="333">
        <f ca="1">IF(TYPE(VLOOKUP($A97,'1.kolo'!$L$3:$L$66,1,0))&gt;3,VLOOKUP($A97,'1.kolo'!$O$3:$Q$66,3,0),VLOOKUP($A97,'1.kolo'!$L$3:$N$66,3,0))</f>
        <v>0</v>
      </c>
      <c r="AJ97" s="333">
        <f t="shared" ca="1" si="53"/>
        <v>0</v>
      </c>
      <c r="AK97" s="333">
        <v>95</v>
      </c>
      <c r="AL97" s="442"/>
      <c r="AP97" s="333" t="str">
        <f ca="1">IF(TYPE(VLOOKUP($A97,'2.kolo'!$L$3:$L$66,1,0))&gt;3,IF(TYPE(VLOOKUP($A97,'2.kolo'!$K$3:$L$66,2,0))&gt;3,0,VLOOKUP($A97,'2.kolo'!$K$3:$L$66,2,0)),VLOOKUP($A97,'2.kolo'!$L$3:$O$66,4,0))</f>
        <v/>
      </c>
      <c r="AQ97" s="333">
        <f ca="1">IF(TYPE(VLOOKUP($A97,'2.kolo'!$L$3:$L$66,1,0))&gt;3,IF(TYPE(VLOOKUP($A97,'2.kolo'!$O$3:$Q$66,2,0))&gt;3,0,VLOOKUP($A97,'2.kolo'!$O$3:$Q$66,2,0)),VLOOKUP($A97,'2.kolo'!$L$3:$N$66,2,0))</f>
        <v>0</v>
      </c>
      <c r="AR97" s="333">
        <f ca="1">IF(TYPE(VLOOKUP($A97,'2.kolo'!$L$3:$L$66,1,0))&gt;3,IF(TYPE(VLOOKUP($A97,'2.kolo'!$O$3:$Q$66,3,0))&gt;3,0,VLOOKUP($A97,'2.kolo'!$O$3:$Q$66,3,0)),VLOOKUP($A97,'2.kolo'!$L$3:$N$66,3,0))</f>
        <v>0</v>
      </c>
      <c r="AS97" s="333">
        <f t="shared" ca="1" si="54"/>
        <v>0</v>
      </c>
      <c r="AT97" s="415" t="s">
        <v>2005</v>
      </c>
      <c r="AU97" s="442" t="str">
        <f ca="1">IF(AT97="","",CONCATENATE(TEXT($O97,"0"),IF(Start.listina!$Y$5="","",TEXT(500+$P97,"000")),TEXT(999999*RAND(),"000000")))</f>
        <v/>
      </c>
      <c r="AV97" s="333">
        <f t="shared" ca="1" si="37"/>
        <v>0</v>
      </c>
      <c r="AY97" s="333" t="str">
        <f ca="1">IF(TYPE(VLOOKUP($A97,'3.kolo'!$L$3:$L$66,1,0))&gt;3,IF(TYPE(VLOOKUP($A97,'3.kolo'!$K$3:$L$66,2,0))&gt;3,0,VLOOKUP($A97,'3.kolo'!$K$3:$L$66,2,0)),VLOOKUP($A97,'3.kolo'!$L$3:$O$66,4,0))</f>
        <v/>
      </c>
      <c r="AZ97" s="333">
        <f ca="1">IF(TYPE(VLOOKUP($A97,'3.kolo'!$L$3:$L$66,1,0))&gt;3,IF(TYPE(VLOOKUP($A97,'3.kolo'!$O$3:$Q$66,2,0))&gt;3,0,VLOOKUP($A97,'3.kolo'!$O$3:$Q$66,2,0)),VLOOKUP($A97,'3.kolo'!$L$3:$N$66,2,0))</f>
        <v>0</v>
      </c>
      <c r="BA97" s="333">
        <f ca="1">IF(TYPE(VLOOKUP($A97,'3.kolo'!$L$3:$L$66,1,0))&gt;3,IF(TYPE(VLOOKUP($A97,'3.kolo'!$O$3:$Q$66,3,0))&gt;3,0,VLOOKUP($A97,'3.kolo'!$O$3:$Q$66,3,0)),VLOOKUP($A97,'3.kolo'!$L$3:$N$66,3,0))</f>
        <v>0</v>
      </c>
      <c r="BB97" s="333">
        <f t="shared" ca="1" si="55"/>
        <v>0</v>
      </c>
      <c r="BC97" s="415" t="s">
        <v>2005</v>
      </c>
      <c r="BD97" s="442" t="str">
        <f ca="1">IF(BC97="","",CONCATENATE(TEXT($O97,"0"),IF(Start.listina!$Y$5="","",TEXT(500+$P97,"000")),TEXT(999999*RAND(),"000000")))</f>
        <v/>
      </c>
      <c r="BE97" s="333">
        <f t="shared" ca="1" si="38"/>
        <v>0</v>
      </c>
      <c r="BH97" s="333" t="str">
        <f ca="1">IF(TYPE(VLOOKUP($A97,'4.kolo'!$L$3:$L$66,1,0))&gt;3,IF(TYPE(VLOOKUP($A97,'4.kolo'!$K$3:$L$66,2,0))&gt;3,0,VLOOKUP($A97,'4.kolo'!$K$3:$L$66,2,0)),VLOOKUP($A97,'4.kolo'!$L$3:$O$66,4,0))</f>
        <v/>
      </c>
      <c r="BI97" s="333">
        <f ca="1">IF(TYPE(VLOOKUP($A97,'4.kolo'!$L$3:$L$66,1,0))&gt;3,IF(TYPE(VLOOKUP($A97,'4.kolo'!$O$3:$Q$66,2,0))&gt;3,0,VLOOKUP($A97,'4.kolo'!$O$3:$Q$66,2,0)),VLOOKUP($A97,'4.kolo'!$L$3:$N$66,2,0))</f>
        <v>0</v>
      </c>
      <c r="BJ97" s="333">
        <f ca="1">IF(TYPE(VLOOKUP($A97,'4.kolo'!$L$3:$L$66,1,0))&gt;3,IF(TYPE(VLOOKUP($A97,'4.kolo'!$O$3:$Q$66,3,0))&gt;3,0,VLOOKUP($A97,'4.kolo'!$O$3:$Q$66,3,0)),VLOOKUP($A97,'4.kolo'!$L$3:$N$66,3,0))</f>
        <v>0</v>
      </c>
      <c r="BK97" s="333">
        <f t="shared" ca="1" si="56"/>
        <v>0</v>
      </c>
      <c r="BL97" s="415" t="s">
        <v>2005</v>
      </c>
      <c r="BM97" s="442" t="str">
        <f ca="1">IF(BL97="","",CONCATENATE(TEXT($O97,"0"),IF(Start.listina!$Y$5="","",TEXT(500+$P97,"000")),TEXT(999999*RAND(),"000000")))</f>
        <v/>
      </c>
      <c r="BN97" s="333">
        <f t="shared" ca="1" si="39"/>
        <v>0</v>
      </c>
      <c r="BQ97" s="333" t="str">
        <f ca="1">IF(TYPE(VLOOKUP($A97,'5.kolo'!$L$3:$L$66,1,0))&gt;3,IF(TYPE(VLOOKUP($A97,'5.kolo'!$K$3:$L$66,2,0))&gt;3,0,VLOOKUP($A97,'5.kolo'!$K$3:$L$66,2,0)),VLOOKUP($A97,'5.kolo'!$L$3:$O$66,4,0))</f>
        <v/>
      </c>
      <c r="BR97" s="333">
        <f ca="1">IF(TYPE(VLOOKUP($A97,'5.kolo'!$L$3:$L$66,1,0))&gt;3,IF(TYPE(VLOOKUP($A97,'5.kolo'!$O$3:$Q$66,2,0))&gt;3,0,VLOOKUP($A97,'5.kolo'!$O$3:$Q$66,2,0)),VLOOKUP($A97,'5.kolo'!$L$3:$N$66,2,0))</f>
        <v>0</v>
      </c>
      <c r="BS97" s="333">
        <f ca="1">IF(TYPE(VLOOKUP($A97,'5.kolo'!$L$3:$L$66,1,0))&gt;3,IF(TYPE(VLOOKUP($A97,'5.kolo'!$O$3:$Q$66,3,0))&gt;3,0,VLOOKUP($A97,'5.kolo'!$O$3:$Q$66,3,0)),VLOOKUP($A97,'5.kolo'!$L$3:$N$66,3,0))</f>
        <v>0</v>
      </c>
      <c r="BT97" s="333">
        <f t="shared" ca="1" si="57"/>
        <v>0</v>
      </c>
      <c r="BU97" s="415"/>
      <c r="BV97" s="442" t="str">
        <f ca="1">IF(BU97="","",CONCATENATE(TEXT($O97,"0"),IF(Start.listina!$Y$5="","",TEXT(500+$P97,"000")),TEXT(999999*RAND(),"000000")))</f>
        <v/>
      </c>
      <c r="BW97" s="333">
        <f t="shared" ca="1" si="40"/>
        <v>0</v>
      </c>
      <c r="BZ97" s="333" t="str">
        <f ca="1">IF(TYPE(VLOOKUP($A97,'6.kolo'!$L$3:$L$66,1,0))&gt;3,IF(TYPE(VLOOKUP($A97,'6.kolo'!$K$3:$L$66,2,0))&gt;3,0,VLOOKUP($A97,'6.kolo'!$K$3:$L$66,2,0)),VLOOKUP($A97,'6.kolo'!$L$3:$O$66,4,0))</f>
        <v/>
      </c>
      <c r="CA97" s="333">
        <f ca="1">IF(TYPE(VLOOKUP($A97,'6.kolo'!$L$3:$L$66,1,0))&gt;3,IF(TYPE(VLOOKUP($A97,'6.kolo'!$O$3:$Q$66,2,0))&gt;3,0,VLOOKUP($A97,'6.kolo'!$O$3:$Q$66,2,0)),VLOOKUP($A97,'6.kolo'!$L$3:$N$66,2,0))</f>
        <v>0</v>
      </c>
      <c r="CB97" s="333">
        <f ca="1">IF(TYPE(VLOOKUP($A97,'6.kolo'!$L$3:$L$66,1,0))&gt;3,IF(TYPE(VLOOKUP($A97,'6.kolo'!$O$3:$Q$66,3,0))&gt;3,0,VLOOKUP($A97,'6.kolo'!$O$3:$Q$66,3,0)),VLOOKUP($A97,'6.kolo'!$L$3:$N$66,3,0))</f>
        <v>0</v>
      </c>
      <c r="CC97" s="333">
        <f t="shared" ca="1" si="58"/>
        <v>0</v>
      </c>
      <c r="CD97" s="415"/>
      <c r="CE97" s="442" t="str">
        <f ca="1">IF(CD97="","",CONCATENATE(TEXT($O97,"0"),IF(Start.listina!$Y$5="","",TEXT(500+$P97,"000")),TEXT(999999*RAND(),"000000")))</f>
        <v/>
      </c>
      <c r="CF97" s="333">
        <f t="shared" ca="1" si="41"/>
        <v>0</v>
      </c>
    </row>
    <row r="98" spans="1:84" x14ac:dyDescent="0.25">
      <c r="A98" s="333" t="str">
        <f>IF(OR(Start.listina!H106&gt;Start.listina!$K$7,Start.listina!G106=TRUE),"",Start.listina!H106)</f>
        <v/>
      </c>
      <c r="B98" s="333" t="str">
        <f>IF($A98&gt;Start.listina!$K$7,"",INT(($A98-1)/Start.listina!$O$7)+1)</f>
        <v/>
      </c>
      <c r="C98" s="439" t="str">
        <f>IF(OR(Start.listina!H106&gt;Start.listina!$K$7,Start.listina!G106=TRUE)," - ",Start.listina!AL106)</f>
        <v xml:space="preserve"> - </v>
      </c>
      <c r="D98" s="333" t="str">
        <f>IF(OR(A98&gt;Start.listina!$K$7,TYPE(VLOOKUP(A98,$V$3:$X$130,3,0))&gt;3),"",VLOOKUP(A98,$V$3:$X$130,3,0))</f>
        <v/>
      </c>
      <c r="E98" s="440" t="str">
        <f>IF(A98&gt;Start.listina!$K$7,"",IF(MIN(F98:K98)&gt;Start.listina!$Y$4,D98,MIN(F98:K98)))</f>
        <v/>
      </c>
      <c r="F98" s="333">
        <f ca="1">IF(TYPE(VLOOKUP(C98,Konečné_pořadí_1_16!$B$2:$D$17,3,0))&lt;4,VLOOKUP(C98,Konečné_pořadí_1_16!$B$2:$D$17,3,0),999)</f>
        <v>999</v>
      </c>
      <c r="G98" s="333">
        <f ca="1">IF(TYPE(VLOOKUP(C98,'KO64'!$D$4:$D$129,1,0))&lt;4,64,999)</f>
        <v>64</v>
      </c>
      <c r="H98" s="333">
        <f ca="1">IF(TYPE(VLOOKUP(C98,'KO32'!$D$4:$D$65,1,0))&lt;4,32,999)</f>
        <v>32</v>
      </c>
      <c r="I98" s="333">
        <f ca="1">IF(TYPE(VLOOKUP(C98,'KO16'!$D$4:$D$33,1,0))&lt;4,16,999)</f>
        <v>999</v>
      </c>
      <c r="J98" s="333">
        <f ca="1">IF(TYPE(VLOOKUP(C98,'KO8'!$D$4:$D$17,1,0))&lt;4,8,999)</f>
        <v>999</v>
      </c>
      <c r="K98" s="333">
        <f ca="1">IF(TYPE(VLOOKUP(C98,'KO4'!$D$4:$D$9,1,0))&lt;4,4,999)</f>
        <v>999</v>
      </c>
      <c r="M98" s="334">
        <v>96</v>
      </c>
      <c r="O98" s="333">
        <f t="shared" ca="1" si="42"/>
        <v>0</v>
      </c>
      <c r="P98" s="333">
        <f t="shared" ca="1" si="43"/>
        <v>0</v>
      </c>
      <c r="Q98" s="333">
        <f t="shared" ca="1" si="34"/>
        <v>2</v>
      </c>
      <c r="R98" s="333">
        <f t="shared" ca="1" si="35"/>
        <v>0</v>
      </c>
      <c r="S98" s="333">
        <f t="shared" ca="1" si="44"/>
        <v>16</v>
      </c>
      <c r="T98" s="333">
        <f t="shared" ca="1" si="45"/>
        <v>0</v>
      </c>
      <c r="U98" s="415">
        <f t="shared" si="59"/>
        <v>96</v>
      </c>
      <c r="V98" s="415" t="s">
        <v>2005</v>
      </c>
      <c r="W98" s="441" t="str">
        <f ca="1">IF($V98="","",CONCATENATE(TEXT($O98,"0"),IF(Start.listina!$Y$5="","",TEXT(500+$P98,"0000")),IF(Start.listina!$Y$6="","",CHOOSE(Start.listina!$Y$7,TEXT($Q98,"00"),CONCATENATE(TEXT($Q98,"00"),TEXT($S98,"000")), TEXT($R98,"00"))),TEXT(500+$P98,"0000"),IF(Start.listina!$Y$8="","",TEXT($T98,"0")),TEXT(999999*RAND(),"000000")))</f>
        <v/>
      </c>
      <c r="X98" s="417">
        <f t="shared" si="46"/>
        <v>96</v>
      </c>
      <c r="Y98" s="415">
        <f t="shared" ca="1" si="36"/>
        <v>0</v>
      </c>
      <c r="Z98" s="333">
        <f t="shared" ca="1" si="47"/>
        <v>51</v>
      </c>
      <c r="AA98" s="333" t="str">
        <f t="shared" ca="1" si="48"/>
        <v/>
      </c>
      <c r="AB98" s="333" t="str">
        <f t="shared" ca="1" si="49"/>
        <v/>
      </c>
      <c r="AC98" s="333" t="str">
        <f t="shared" ca="1" si="50"/>
        <v/>
      </c>
      <c r="AD98" s="333" t="str">
        <f t="shared" ca="1" si="51"/>
        <v/>
      </c>
      <c r="AE98" s="333" t="str">
        <f t="shared" ca="1" si="52"/>
        <v/>
      </c>
      <c r="AG98" s="333">
        <f ca="1">IF(TYPE(VLOOKUP($A98,'1.kolo'!$L$3:$L$66,1,0))&gt;3,VLOOKUP($A98,'1.kolo'!$K$3:$L$66,2,0),VLOOKUP($A98,'1.kolo'!$L$3:$O$66,4,0))</f>
        <v>51</v>
      </c>
      <c r="AH98" s="333">
        <f ca="1">IF(TYPE(VLOOKUP($A98,'1.kolo'!$L$3:$L$66,1,0))&gt;3,VLOOKUP($A98,'1.kolo'!$O$3:$Q$66,2,0),VLOOKUP($A98,'1.kolo'!$L$3:$N$66,2,0))</f>
        <v>0</v>
      </c>
      <c r="AI98" s="333">
        <f ca="1">IF(TYPE(VLOOKUP($A98,'1.kolo'!$L$3:$L$66,1,0))&gt;3,VLOOKUP($A98,'1.kolo'!$O$3:$Q$66,3,0),VLOOKUP($A98,'1.kolo'!$L$3:$N$66,3,0))</f>
        <v>0</v>
      </c>
      <c r="AJ98" s="333">
        <f t="shared" ca="1" si="53"/>
        <v>0</v>
      </c>
      <c r="AK98" s="333">
        <v>96</v>
      </c>
      <c r="AL98" s="442"/>
      <c r="AP98" s="333" t="str">
        <f ca="1">IF(TYPE(VLOOKUP($A98,'2.kolo'!$L$3:$L$66,1,0))&gt;3,IF(TYPE(VLOOKUP($A98,'2.kolo'!$K$3:$L$66,2,0))&gt;3,0,VLOOKUP($A98,'2.kolo'!$K$3:$L$66,2,0)),VLOOKUP($A98,'2.kolo'!$L$3:$O$66,4,0))</f>
        <v/>
      </c>
      <c r="AQ98" s="333">
        <f ca="1">IF(TYPE(VLOOKUP($A98,'2.kolo'!$L$3:$L$66,1,0))&gt;3,IF(TYPE(VLOOKUP($A98,'2.kolo'!$O$3:$Q$66,2,0))&gt;3,0,VLOOKUP($A98,'2.kolo'!$O$3:$Q$66,2,0)),VLOOKUP($A98,'2.kolo'!$L$3:$N$66,2,0))</f>
        <v>0</v>
      </c>
      <c r="AR98" s="333">
        <f ca="1">IF(TYPE(VLOOKUP($A98,'2.kolo'!$L$3:$L$66,1,0))&gt;3,IF(TYPE(VLOOKUP($A98,'2.kolo'!$O$3:$Q$66,3,0))&gt;3,0,VLOOKUP($A98,'2.kolo'!$O$3:$Q$66,3,0)),VLOOKUP($A98,'2.kolo'!$L$3:$N$66,3,0))</f>
        <v>0</v>
      </c>
      <c r="AS98" s="333">
        <f t="shared" ca="1" si="54"/>
        <v>0</v>
      </c>
      <c r="AT98" s="415" t="s">
        <v>2005</v>
      </c>
      <c r="AU98" s="442" t="str">
        <f ca="1">IF(AT98="","",CONCATENATE(TEXT($O98,"0"),IF(Start.listina!$Y$5="","",TEXT(500+$P98,"000")),TEXT(999999*RAND(),"000000")))</f>
        <v/>
      </c>
      <c r="AV98" s="333">
        <f t="shared" ca="1" si="37"/>
        <v>0</v>
      </c>
      <c r="AY98" s="333" t="str">
        <f ca="1">IF(TYPE(VLOOKUP($A98,'3.kolo'!$L$3:$L$66,1,0))&gt;3,IF(TYPE(VLOOKUP($A98,'3.kolo'!$K$3:$L$66,2,0))&gt;3,0,VLOOKUP($A98,'3.kolo'!$K$3:$L$66,2,0)),VLOOKUP($A98,'3.kolo'!$L$3:$O$66,4,0))</f>
        <v/>
      </c>
      <c r="AZ98" s="333">
        <f ca="1">IF(TYPE(VLOOKUP($A98,'3.kolo'!$L$3:$L$66,1,0))&gt;3,IF(TYPE(VLOOKUP($A98,'3.kolo'!$O$3:$Q$66,2,0))&gt;3,0,VLOOKUP($A98,'3.kolo'!$O$3:$Q$66,2,0)),VLOOKUP($A98,'3.kolo'!$L$3:$N$66,2,0))</f>
        <v>0</v>
      </c>
      <c r="BA98" s="333">
        <f ca="1">IF(TYPE(VLOOKUP($A98,'3.kolo'!$L$3:$L$66,1,0))&gt;3,IF(TYPE(VLOOKUP($A98,'3.kolo'!$O$3:$Q$66,3,0))&gt;3,0,VLOOKUP($A98,'3.kolo'!$O$3:$Q$66,3,0)),VLOOKUP($A98,'3.kolo'!$L$3:$N$66,3,0))</f>
        <v>0</v>
      </c>
      <c r="BB98" s="333">
        <f t="shared" ca="1" si="55"/>
        <v>0</v>
      </c>
      <c r="BC98" s="415" t="s">
        <v>2005</v>
      </c>
      <c r="BD98" s="442" t="str">
        <f ca="1">IF(BC98="","",CONCATENATE(TEXT($O98,"0"),IF(Start.listina!$Y$5="","",TEXT(500+$P98,"000")),TEXT(999999*RAND(),"000000")))</f>
        <v/>
      </c>
      <c r="BE98" s="333">
        <f t="shared" ca="1" si="38"/>
        <v>0</v>
      </c>
      <c r="BH98" s="333" t="str">
        <f ca="1">IF(TYPE(VLOOKUP($A98,'4.kolo'!$L$3:$L$66,1,0))&gt;3,IF(TYPE(VLOOKUP($A98,'4.kolo'!$K$3:$L$66,2,0))&gt;3,0,VLOOKUP($A98,'4.kolo'!$K$3:$L$66,2,0)),VLOOKUP($A98,'4.kolo'!$L$3:$O$66,4,0))</f>
        <v/>
      </c>
      <c r="BI98" s="333">
        <f ca="1">IF(TYPE(VLOOKUP($A98,'4.kolo'!$L$3:$L$66,1,0))&gt;3,IF(TYPE(VLOOKUP($A98,'4.kolo'!$O$3:$Q$66,2,0))&gt;3,0,VLOOKUP($A98,'4.kolo'!$O$3:$Q$66,2,0)),VLOOKUP($A98,'4.kolo'!$L$3:$N$66,2,0))</f>
        <v>0</v>
      </c>
      <c r="BJ98" s="333">
        <f ca="1">IF(TYPE(VLOOKUP($A98,'4.kolo'!$L$3:$L$66,1,0))&gt;3,IF(TYPE(VLOOKUP($A98,'4.kolo'!$O$3:$Q$66,3,0))&gt;3,0,VLOOKUP($A98,'4.kolo'!$O$3:$Q$66,3,0)),VLOOKUP($A98,'4.kolo'!$L$3:$N$66,3,0))</f>
        <v>0</v>
      </c>
      <c r="BK98" s="333">
        <f t="shared" ca="1" si="56"/>
        <v>0</v>
      </c>
      <c r="BL98" s="415" t="s">
        <v>2005</v>
      </c>
      <c r="BM98" s="442" t="str">
        <f ca="1">IF(BL98="","",CONCATENATE(TEXT($O98,"0"),IF(Start.listina!$Y$5="","",TEXT(500+$P98,"000")),TEXT(999999*RAND(),"000000")))</f>
        <v/>
      </c>
      <c r="BN98" s="333">
        <f t="shared" ca="1" si="39"/>
        <v>0</v>
      </c>
      <c r="BQ98" s="333" t="str">
        <f ca="1">IF(TYPE(VLOOKUP($A98,'5.kolo'!$L$3:$L$66,1,0))&gt;3,IF(TYPE(VLOOKUP($A98,'5.kolo'!$K$3:$L$66,2,0))&gt;3,0,VLOOKUP($A98,'5.kolo'!$K$3:$L$66,2,0)),VLOOKUP($A98,'5.kolo'!$L$3:$O$66,4,0))</f>
        <v/>
      </c>
      <c r="BR98" s="333">
        <f ca="1">IF(TYPE(VLOOKUP($A98,'5.kolo'!$L$3:$L$66,1,0))&gt;3,IF(TYPE(VLOOKUP($A98,'5.kolo'!$O$3:$Q$66,2,0))&gt;3,0,VLOOKUP($A98,'5.kolo'!$O$3:$Q$66,2,0)),VLOOKUP($A98,'5.kolo'!$L$3:$N$66,2,0))</f>
        <v>0</v>
      </c>
      <c r="BS98" s="333">
        <f ca="1">IF(TYPE(VLOOKUP($A98,'5.kolo'!$L$3:$L$66,1,0))&gt;3,IF(TYPE(VLOOKUP($A98,'5.kolo'!$O$3:$Q$66,3,0))&gt;3,0,VLOOKUP($A98,'5.kolo'!$O$3:$Q$66,3,0)),VLOOKUP($A98,'5.kolo'!$L$3:$N$66,3,0))</f>
        <v>0</v>
      </c>
      <c r="BT98" s="333">
        <f t="shared" ca="1" si="57"/>
        <v>0</v>
      </c>
      <c r="BU98" s="415"/>
      <c r="BV98" s="442" t="str">
        <f ca="1">IF(BU98="","",CONCATENATE(TEXT($O98,"0"),IF(Start.listina!$Y$5="","",TEXT(500+$P98,"000")),TEXT(999999*RAND(),"000000")))</f>
        <v/>
      </c>
      <c r="BW98" s="333">
        <f t="shared" ca="1" si="40"/>
        <v>0</v>
      </c>
      <c r="BZ98" s="333" t="str">
        <f ca="1">IF(TYPE(VLOOKUP($A98,'6.kolo'!$L$3:$L$66,1,0))&gt;3,IF(TYPE(VLOOKUP($A98,'6.kolo'!$K$3:$L$66,2,0))&gt;3,0,VLOOKUP($A98,'6.kolo'!$K$3:$L$66,2,0)),VLOOKUP($A98,'6.kolo'!$L$3:$O$66,4,0))</f>
        <v/>
      </c>
      <c r="CA98" s="333">
        <f ca="1">IF(TYPE(VLOOKUP($A98,'6.kolo'!$L$3:$L$66,1,0))&gt;3,IF(TYPE(VLOOKUP($A98,'6.kolo'!$O$3:$Q$66,2,0))&gt;3,0,VLOOKUP($A98,'6.kolo'!$O$3:$Q$66,2,0)),VLOOKUP($A98,'6.kolo'!$L$3:$N$66,2,0))</f>
        <v>0</v>
      </c>
      <c r="CB98" s="333">
        <f ca="1">IF(TYPE(VLOOKUP($A98,'6.kolo'!$L$3:$L$66,1,0))&gt;3,IF(TYPE(VLOOKUP($A98,'6.kolo'!$O$3:$Q$66,3,0))&gt;3,0,VLOOKUP($A98,'6.kolo'!$O$3:$Q$66,3,0)),VLOOKUP($A98,'6.kolo'!$L$3:$N$66,3,0))</f>
        <v>0</v>
      </c>
      <c r="CC98" s="333">
        <f t="shared" ca="1" si="58"/>
        <v>0</v>
      </c>
      <c r="CD98" s="415"/>
      <c r="CE98" s="442" t="str">
        <f ca="1">IF(CD98="","",CONCATENATE(TEXT($O98,"0"),IF(Start.listina!$Y$5="","",TEXT(500+$P98,"000")),TEXT(999999*RAND(),"000000")))</f>
        <v/>
      </c>
      <c r="CF98" s="333">
        <f t="shared" ca="1" si="41"/>
        <v>0</v>
      </c>
    </row>
    <row r="99" spans="1:84" x14ac:dyDescent="0.25">
      <c r="A99" s="333" t="str">
        <f>IF(OR(Start.listina!H107&gt;Start.listina!$K$7,Start.listina!G107=TRUE),"",Start.listina!H107)</f>
        <v/>
      </c>
      <c r="B99" s="333" t="str">
        <f>IF($A99&gt;Start.listina!$K$7,"",INT(($A99-1)/Start.listina!$O$7)+1)</f>
        <v/>
      </c>
      <c r="C99" s="439" t="str">
        <f>IF(OR(Start.listina!H107&gt;Start.listina!$K$7,Start.listina!G107=TRUE)," - ",Start.listina!AL107)</f>
        <v xml:space="preserve"> - </v>
      </c>
      <c r="D99" s="333" t="str">
        <f>IF(OR(A99&gt;Start.listina!$K$7,TYPE(VLOOKUP(A99,$V$3:$X$130,3,0))&gt;3),"",VLOOKUP(A99,$V$3:$X$130,3,0))</f>
        <v/>
      </c>
      <c r="E99" s="440" t="str">
        <f>IF(A99&gt;Start.listina!$K$7,"",IF(MIN(F99:K99)&gt;Start.listina!$Y$4,D99,MIN(F99:K99)))</f>
        <v/>
      </c>
      <c r="F99" s="333">
        <f ca="1">IF(TYPE(VLOOKUP(C99,Konečné_pořadí_1_16!$B$2:$D$17,3,0))&lt;4,VLOOKUP(C99,Konečné_pořadí_1_16!$B$2:$D$17,3,0),999)</f>
        <v>999</v>
      </c>
      <c r="G99" s="333">
        <f ca="1">IF(TYPE(VLOOKUP(C99,'KO64'!$D$4:$D$129,1,0))&lt;4,64,999)</f>
        <v>64</v>
      </c>
      <c r="H99" s="333">
        <f ca="1">IF(TYPE(VLOOKUP(C99,'KO32'!$D$4:$D$65,1,0))&lt;4,32,999)</f>
        <v>32</v>
      </c>
      <c r="I99" s="333">
        <f ca="1">IF(TYPE(VLOOKUP(C99,'KO16'!$D$4:$D$33,1,0))&lt;4,16,999)</f>
        <v>999</v>
      </c>
      <c r="J99" s="333">
        <f ca="1">IF(TYPE(VLOOKUP(C99,'KO8'!$D$4:$D$17,1,0))&lt;4,8,999)</f>
        <v>999</v>
      </c>
      <c r="K99" s="333">
        <f ca="1">IF(TYPE(VLOOKUP(C99,'KO4'!$D$4:$D$9,1,0))&lt;4,4,999)</f>
        <v>999</v>
      </c>
      <c r="M99" s="334">
        <v>97</v>
      </c>
      <c r="O99" s="333">
        <f t="shared" ca="1" si="42"/>
        <v>0</v>
      </c>
      <c r="P99" s="333">
        <f t="shared" ca="1" si="43"/>
        <v>0</v>
      </c>
      <c r="Q99" s="333">
        <f t="shared" ref="Q99:Q130" ca="1" si="60">VLOOKUP($Z99,$A$3:$O$131,15,0)+VLOOKUP($AA99,$A$3:$O$131,15,0)+VLOOKUP($AB99,$A$3:$O$131,15,0)+VLOOKUP($AC99,$A$3:$O$131,15,0)+VLOOKUP($AD99,$A$3:$O$131,15,0)+VLOOKUP($AE99,$A$3:$O$131,15,0)</f>
        <v>2</v>
      </c>
      <c r="R99" s="333">
        <f t="shared" ref="R99:R130" ca="1" si="61">IF(AH99=0,0,VLOOKUP($Z99,$A$3:$O$130,15,0))+IF(AQ99=0,0,VLOOKUP($AA99,$A$3:$O$130,15,0))+IF(AZ99=0,0,VLOOKUP($AB99,$A$3:$O$130,15,0))+IF(BI99=0,0,VLOOKUP($AC99,$A$3:$O$130,15,0))+IF(BR99=0,0,VLOOKUP($AD99,$A$3:$O$130,15,0))+IF(CA99=0,0,VLOOKUP($AE99,$A$3:$O$130,15,0))</f>
        <v>0</v>
      </c>
      <c r="S99" s="333">
        <f t="shared" ca="1" si="44"/>
        <v>16</v>
      </c>
      <c r="T99" s="333">
        <f t="shared" ca="1" si="45"/>
        <v>0</v>
      </c>
      <c r="U99" s="415">
        <f t="shared" si="59"/>
        <v>97</v>
      </c>
      <c r="V99" s="415" t="s">
        <v>2005</v>
      </c>
      <c r="W99" s="441" t="str">
        <f ca="1">IF($V99="","",CONCATENATE(TEXT($O99,"0"),IF(Start.listina!$Y$5="","",TEXT(500+$P99,"0000")),IF(Start.listina!$Y$6="","",CHOOSE(Start.listina!$Y$7,TEXT($Q99,"00"),CONCATENATE(TEXT($Q99,"00"),TEXT($S99,"000")), TEXT($R99,"00"))),TEXT(500+$P99,"0000"),IF(Start.listina!$Y$8="","",TEXT($T99,"0")),TEXT(999999*RAND(),"000000")))</f>
        <v/>
      </c>
      <c r="X99" s="417">
        <f t="shared" si="46"/>
        <v>97</v>
      </c>
      <c r="Y99" s="415">
        <f t="shared" ref="Y99:Y130" ca="1" si="62">IF(TYPE(VLOOKUP(V99,$A$3:$O$130,15,0))&gt;3,0,VLOOKUP(V99,$A$3:$O$130,15,0))</f>
        <v>0</v>
      </c>
      <c r="Z99" s="333">
        <f t="shared" ca="1" si="47"/>
        <v>51</v>
      </c>
      <c r="AA99" s="333" t="str">
        <f t="shared" ca="1" si="48"/>
        <v/>
      </c>
      <c r="AB99" s="333" t="str">
        <f t="shared" ca="1" si="49"/>
        <v/>
      </c>
      <c r="AC99" s="333" t="str">
        <f t="shared" ca="1" si="50"/>
        <v/>
      </c>
      <c r="AD99" s="333" t="str">
        <f t="shared" ca="1" si="51"/>
        <v/>
      </c>
      <c r="AE99" s="333" t="str">
        <f t="shared" ca="1" si="52"/>
        <v/>
      </c>
      <c r="AG99" s="333">
        <f ca="1">IF(TYPE(VLOOKUP($A99,'1.kolo'!$L$3:$L$66,1,0))&gt;3,VLOOKUP($A99,'1.kolo'!$K$3:$L$66,2,0),VLOOKUP($A99,'1.kolo'!$L$3:$O$66,4,0))</f>
        <v>51</v>
      </c>
      <c r="AH99" s="333">
        <f ca="1">IF(TYPE(VLOOKUP($A99,'1.kolo'!$L$3:$L$66,1,0))&gt;3,VLOOKUP($A99,'1.kolo'!$O$3:$Q$66,2,0),VLOOKUP($A99,'1.kolo'!$L$3:$N$66,2,0))</f>
        <v>0</v>
      </c>
      <c r="AI99" s="333">
        <f ca="1">IF(TYPE(VLOOKUP($A99,'1.kolo'!$L$3:$L$66,1,0))&gt;3,VLOOKUP($A99,'1.kolo'!$O$3:$Q$66,3,0),VLOOKUP($A99,'1.kolo'!$L$3:$N$66,3,0))</f>
        <v>0</v>
      </c>
      <c r="AJ99" s="333">
        <f t="shared" ca="1" si="53"/>
        <v>0</v>
      </c>
      <c r="AK99" s="333">
        <v>97</v>
      </c>
      <c r="AL99" s="442"/>
      <c r="AP99" s="333" t="str">
        <f ca="1">IF(TYPE(VLOOKUP($A99,'2.kolo'!$L$3:$L$66,1,0))&gt;3,IF(TYPE(VLOOKUP($A99,'2.kolo'!$K$3:$L$66,2,0))&gt;3,0,VLOOKUP($A99,'2.kolo'!$K$3:$L$66,2,0)),VLOOKUP($A99,'2.kolo'!$L$3:$O$66,4,0))</f>
        <v/>
      </c>
      <c r="AQ99" s="333">
        <f ca="1">IF(TYPE(VLOOKUP($A99,'2.kolo'!$L$3:$L$66,1,0))&gt;3,IF(TYPE(VLOOKUP($A99,'2.kolo'!$O$3:$Q$66,2,0))&gt;3,0,VLOOKUP($A99,'2.kolo'!$O$3:$Q$66,2,0)),VLOOKUP($A99,'2.kolo'!$L$3:$N$66,2,0))</f>
        <v>0</v>
      </c>
      <c r="AR99" s="333">
        <f ca="1">IF(TYPE(VLOOKUP($A99,'2.kolo'!$L$3:$L$66,1,0))&gt;3,IF(TYPE(VLOOKUP($A99,'2.kolo'!$O$3:$Q$66,3,0))&gt;3,0,VLOOKUP($A99,'2.kolo'!$O$3:$Q$66,3,0)),VLOOKUP($A99,'2.kolo'!$L$3:$N$66,3,0))</f>
        <v>0</v>
      </c>
      <c r="AS99" s="333">
        <f t="shared" ca="1" si="54"/>
        <v>0</v>
      </c>
      <c r="AT99" s="415" t="s">
        <v>2005</v>
      </c>
      <c r="AU99" s="442" t="str">
        <f ca="1">IF(AT99="","",CONCATENATE(TEXT($O99,"0"),IF(Start.listina!$Y$5="","",TEXT(500+$P99,"000")),TEXT(999999*RAND(),"000000")))</f>
        <v/>
      </c>
      <c r="AV99" s="333">
        <f t="shared" ref="AV99:AV130" ca="1" si="63">IF(OR(AND(N(AP99)=0,N(AT99)=0),TYPE(MATCH($AA99,$Z99:$Z99,0))&gt;1),0,1)</f>
        <v>0</v>
      </c>
      <c r="AY99" s="333" t="str">
        <f ca="1">IF(TYPE(VLOOKUP($A99,'3.kolo'!$L$3:$L$66,1,0))&gt;3,IF(TYPE(VLOOKUP($A99,'3.kolo'!$K$3:$L$66,2,0))&gt;3,0,VLOOKUP($A99,'3.kolo'!$K$3:$L$66,2,0)),VLOOKUP($A99,'3.kolo'!$L$3:$O$66,4,0))</f>
        <v/>
      </c>
      <c r="AZ99" s="333">
        <f ca="1">IF(TYPE(VLOOKUP($A99,'3.kolo'!$L$3:$L$66,1,0))&gt;3,IF(TYPE(VLOOKUP($A99,'3.kolo'!$O$3:$Q$66,2,0))&gt;3,0,VLOOKUP($A99,'3.kolo'!$O$3:$Q$66,2,0)),VLOOKUP($A99,'3.kolo'!$L$3:$N$66,2,0))</f>
        <v>0</v>
      </c>
      <c r="BA99" s="333">
        <f ca="1">IF(TYPE(VLOOKUP($A99,'3.kolo'!$L$3:$L$66,1,0))&gt;3,IF(TYPE(VLOOKUP($A99,'3.kolo'!$O$3:$Q$66,3,0))&gt;3,0,VLOOKUP($A99,'3.kolo'!$O$3:$Q$66,3,0)),VLOOKUP($A99,'3.kolo'!$L$3:$N$66,3,0))</f>
        <v>0</v>
      </c>
      <c r="BB99" s="333">
        <f t="shared" ca="1" si="55"/>
        <v>0</v>
      </c>
      <c r="BC99" s="415" t="s">
        <v>2005</v>
      </c>
      <c r="BD99" s="442" t="str">
        <f ca="1">IF(BC99="","",CONCATENATE(TEXT($O99,"0"),IF(Start.listina!$Y$5="","",TEXT(500+$P99,"000")),TEXT(999999*RAND(),"000000")))</f>
        <v/>
      </c>
      <c r="BE99" s="333">
        <f t="shared" ref="BE99:BE130" ca="1" si="64">IF(OR(AND(N(AY99)=0,N(BC99)=0),TYPE(MATCH($AB99,$Z99:$AA99,0))&gt;1),0,1)</f>
        <v>0</v>
      </c>
      <c r="BH99" s="333" t="str">
        <f ca="1">IF(TYPE(VLOOKUP($A99,'4.kolo'!$L$3:$L$66,1,0))&gt;3,IF(TYPE(VLOOKUP($A99,'4.kolo'!$K$3:$L$66,2,0))&gt;3,0,VLOOKUP($A99,'4.kolo'!$K$3:$L$66,2,0)),VLOOKUP($A99,'4.kolo'!$L$3:$O$66,4,0))</f>
        <v/>
      </c>
      <c r="BI99" s="333">
        <f ca="1">IF(TYPE(VLOOKUP($A99,'4.kolo'!$L$3:$L$66,1,0))&gt;3,IF(TYPE(VLOOKUP($A99,'4.kolo'!$O$3:$Q$66,2,0))&gt;3,0,VLOOKUP($A99,'4.kolo'!$O$3:$Q$66,2,0)),VLOOKUP($A99,'4.kolo'!$L$3:$N$66,2,0))</f>
        <v>0</v>
      </c>
      <c r="BJ99" s="333">
        <f ca="1">IF(TYPE(VLOOKUP($A99,'4.kolo'!$L$3:$L$66,1,0))&gt;3,IF(TYPE(VLOOKUP($A99,'4.kolo'!$O$3:$Q$66,3,0))&gt;3,0,VLOOKUP($A99,'4.kolo'!$O$3:$Q$66,3,0)),VLOOKUP($A99,'4.kolo'!$L$3:$N$66,3,0))</f>
        <v>0</v>
      </c>
      <c r="BK99" s="333">
        <f t="shared" ca="1" si="56"/>
        <v>0</v>
      </c>
      <c r="BL99" s="415" t="s">
        <v>2005</v>
      </c>
      <c r="BM99" s="442" t="str">
        <f ca="1">IF(BL99="","",CONCATENATE(TEXT($O99,"0"),IF(Start.listina!$Y$5="","",TEXT(500+$P99,"000")),TEXT(999999*RAND(),"000000")))</f>
        <v/>
      </c>
      <c r="BN99" s="333">
        <f t="shared" ref="BN99:BN130" ca="1" si="65">IF(OR(AND(N(BH99)=0,N(BL99)=0),TYPE(MATCH($AC99,$Z99:$AB99,0))&gt;1),0,1)</f>
        <v>0</v>
      </c>
      <c r="BQ99" s="333" t="str">
        <f ca="1">IF(TYPE(VLOOKUP($A99,'5.kolo'!$L$3:$L$66,1,0))&gt;3,IF(TYPE(VLOOKUP($A99,'5.kolo'!$K$3:$L$66,2,0))&gt;3,0,VLOOKUP($A99,'5.kolo'!$K$3:$L$66,2,0)),VLOOKUP($A99,'5.kolo'!$L$3:$O$66,4,0))</f>
        <v/>
      </c>
      <c r="BR99" s="333">
        <f ca="1">IF(TYPE(VLOOKUP($A99,'5.kolo'!$L$3:$L$66,1,0))&gt;3,IF(TYPE(VLOOKUP($A99,'5.kolo'!$O$3:$Q$66,2,0))&gt;3,0,VLOOKUP($A99,'5.kolo'!$O$3:$Q$66,2,0)),VLOOKUP($A99,'5.kolo'!$L$3:$N$66,2,0))</f>
        <v>0</v>
      </c>
      <c r="BS99" s="333">
        <f ca="1">IF(TYPE(VLOOKUP($A99,'5.kolo'!$L$3:$L$66,1,0))&gt;3,IF(TYPE(VLOOKUP($A99,'5.kolo'!$O$3:$Q$66,3,0))&gt;3,0,VLOOKUP($A99,'5.kolo'!$O$3:$Q$66,3,0)),VLOOKUP($A99,'5.kolo'!$L$3:$N$66,3,0))</f>
        <v>0</v>
      </c>
      <c r="BT99" s="333">
        <f t="shared" ca="1" si="57"/>
        <v>0</v>
      </c>
      <c r="BU99" s="415"/>
      <c r="BV99" s="442" t="str">
        <f ca="1">IF(BU99="","",CONCATENATE(TEXT($O99,"0"),IF(Start.listina!$Y$5="","",TEXT(500+$P99,"000")),TEXT(999999*RAND(),"000000")))</f>
        <v/>
      </c>
      <c r="BW99" s="333">
        <f t="shared" ref="BW99:BW130" ca="1" si="66">IF(OR(AND(N(BQ99)=0,N(BU99)=0),TYPE(MATCH($AD99,$Z99:$AC99,0))&gt;1),0,1)</f>
        <v>0</v>
      </c>
      <c r="BZ99" s="333" t="str">
        <f ca="1">IF(TYPE(VLOOKUP($A99,'6.kolo'!$L$3:$L$66,1,0))&gt;3,IF(TYPE(VLOOKUP($A99,'6.kolo'!$K$3:$L$66,2,0))&gt;3,0,VLOOKUP($A99,'6.kolo'!$K$3:$L$66,2,0)),VLOOKUP($A99,'6.kolo'!$L$3:$O$66,4,0))</f>
        <v/>
      </c>
      <c r="CA99" s="333">
        <f ca="1">IF(TYPE(VLOOKUP($A99,'6.kolo'!$L$3:$L$66,1,0))&gt;3,IF(TYPE(VLOOKUP($A99,'6.kolo'!$O$3:$Q$66,2,0))&gt;3,0,VLOOKUP($A99,'6.kolo'!$O$3:$Q$66,2,0)),VLOOKUP($A99,'6.kolo'!$L$3:$N$66,2,0))</f>
        <v>0</v>
      </c>
      <c r="CB99" s="333">
        <f ca="1">IF(TYPE(VLOOKUP($A99,'6.kolo'!$L$3:$L$66,1,0))&gt;3,IF(TYPE(VLOOKUP($A99,'6.kolo'!$O$3:$Q$66,3,0))&gt;3,0,VLOOKUP($A99,'6.kolo'!$O$3:$Q$66,3,0)),VLOOKUP($A99,'6.kolo'!$L$3:$N$66,3,0))</f>
        <v>0</v>
      </c>
      <c r="CC99" s="333">
        <f t="shared" ca="1" si="58"/>
        <v>0</v>
      </c>
      <c r="CD99" s="415"/>
      <c r="CE99" s="442" t="str">
        <f ca="1">IF(CD99="","",CONCATENATE(TEXT($O99,"0"),IF(Start.listina!$Y$5="","",TEXT(500+$P99,"000")),TEXT(999999*RAND(),"000000")))</f>
        <v/>
      </c>
      <c r="CF99" s="333">
        <f t="shared" ref="CF99:CF130" ca="1" si="67">IF(OR(AND(N(BZ99)=0,N(CD99)=0),TYPE(MATCH($AE99,$Z99:$AD99,0))&gt;1),0,1)</f>
        <v>0</v>
      </c>
    </row>
    <row r="100" spans="1:84" x14ac:dyDescent="0.25">
      <c r="A100" s="333" t="str">
        <f>IF(OR(Start.listina!H108&gt;Start.listina!$K$7,Start.listina!G108=TRUE),"",Start.listina!H108)</f>
        <v/>
      </c>
      <c r="B100" s="333" t="str">
        <f>IF($A100&gt;Start.listina!$K$7,"",INT(($A100-1)/Start.listina!$O$7)+1)</f>
        <v/>
      </c>
      <c r="C100" s="439" t="str">
        <f>IF(OR(Start.listina!H108&gt;Start.listina!$K$7,Start.listina!G108=TRUE)," - ",Start.listina!AL108)</f>
        <v xml:space="preserve"> - </v>
      </c>
      <c r="D100" s="333" t="str">
        <f>IF(OR(A100&gt;Start.listina!$K$7,TYPE(VLOOKUP(A100,$V$3:$X$130,3,0))&gt;3),"",VLOOKUP(A100,$V$3:$X$130,3,0))</f>
        <v/>
      </c>
      <c r="E100" s="440" t="str">
        <f>IF(A100&gt;Start.listina!$K$7,"",IF(MIN(F100:K100)&gt;Start.listina!$Y$4,D100,MIN(F100:K100)))</f>
        <v/>
      </c>
      <c r="F100" s="333">
        <f ca="1">IF(TYPE(VLOOKUP(C100,Konečné_pořadí_1_16!$B$2:$D$17,3,0))&lt;4,VLOOKUP(C100,Konečné_pořadí_1_16!$B$2:$D$17,3,0),999)</f>
        <v>999</v>
      </c>
      <c r="G100" s="333">
        <f ca="1">IF(TYPE(VLOOKUP(C100,'KO64'!$D$4:$D$129,1,0))&lt;4,64,999)</f>
        <v>64</v>
      </c>
      <c r="H100" s="333">
        <f ca="1">IF(TYPE(VLOOKUP(C100,'KO32'!$D$4:$D$65,1,0))&lt;4,32,999)</f>
        <v>32</v>
      </c>
      <c r="I100" s="333">
        <f ca="1">IF(TYPE(VLOOKUP(C100,'KO16'!$D$4:$D$33,1,0))&lt;4,16,999)</f>
        <v>999</v>
      </c>
      <c r="J100" s="333">
        <f ca="1">IF(TYPE(VLOOKUP(C100,'KO8'!$D$4:$D$17,1,0))&lt;4,8,999)</f>
        <v>999</v>
      </c>
      <c r="K100" s="333">
        <f ca="1">IF(TYPE(VLOOKUP(C100,'KO4'!$D$4:$D$9,1,0))&lt;4,4,999)</f>
        <v>999</v>
      </c>
      <c r="M100" s="334">
        <v>98</v>
      </c>
      <c r="O100" s="333">
        <f t="shared" ca="1" si="42"/>
        <v>0</v>
      </c>
      <c r="P100" s="333">
        <f t="shared" ca="1" si="43"/>
        <v>0</v>
      </c>
      <c r="Q100" s="333">
        <f t="shared" ca="1" si="60"/>
        <v>2</v>
      </c>
      <c r="R100" s="333">
        <f t="shared" ca="1" si="61"/>
        <v>0</v>
      </c>
      <c r="S100" s="333">
        <f t="shared" ca="1" si="44"/>
        <v>16</v>
      </c>
      <c r="T100" s="333">
        <f t="shared" ca="1" si="45"/>
        <v>0</v>
      </c>
      <c r="U100" s="415">
        <f t="shared" si="59"/>
        <v>98</v>
      </c>
      <c r="V100" s="415" t="s">
        <v>2005</v>
      </c>
      <c r="W100" s="441" t="str">
        <f ca="1">IF($V100="","",CONCATENATE(TEXT($O100,"0"),IF(Start.listina!$Y$5="","",TEXT(500+$P100,"0000")),IF(Start.listina!$Y$6="","",CHOOSE(Start.listina!$Y$7,TEXT($Q100,"00"),CONCATENATE(TEXT($Q100,"00"),TEXT($S100,"000")), TEXT($R100,"00"))),TEXT(500+$P100,"0000"),IF(Start.listina!$Y$8="","",TEXT($T100,"0")),TEXT(999999*RAND(),"000000")))</f>
        <v/>
      </c>
      <c r="X100" s="417">
        <f t="shared" si="46"/>
        <v>98</v>
      </c>
      <c r="Y100" s="415">
        <f t="shared" ca="1" si="62"/>
        <v>0</v>
      </c>
      <c r="Z100" s="333">
        <f t="shared" ca="1" si="47"/>
        <v>51</v>
      </c>
      <c r="AA100" s="333" t="str">
        <f t="shared" ca="1" si="48"/>
        <v/>
      </c>
      <c r="AB100" s="333" t="str">
        <f t="shared" ca="1" si="49"/>
        <v/>
      </c>
      <c r="AC100" s="333" t="str">
        <f t="shared" ca="1" si="50"/>
        <v/>
      </c>
      <c r="AD100" s="333" t="str">
        <f t="shared" ca="1" si="51"/>
        <v/>
      </c>
      <c r="AE100" s="333" t="str">
        <f t="shared" ca="1" si="52"/>
        <v/>
      </c>
      <c r="AG100" s="333">
        <f ca="1">IF(TYPE(VLOOKUP($A100,'1.kolo'!$L$3:$L$66,1,0))&gt;3,VLOOKUP($A100,'1.kolo'!$K$3:$L$66,2,0),VLOOKUP($A100,'1.kolo'!$L$3:$O$66,4,0))</f>
        <v>51</v>
      </c>
      <c r="AH100" s="333">
        <f ca="1">IF(TYPE(VLOOKUP($A100,'1.kolo'!$L$3:$L$66,1,0))&gt;3,VLOOKUP($A100,'1.kolo'!$O$3:$Q$66,2,0),VLOOKUP($A100,'1.kolo'!$L$3:$N$66,2,0))</f>
        <v>0</v>
      </c>
      <c r="AI100" s="333">
        <f ca="1">IF(TYPE(VLOOKUP($A100,'1.kolo'!$L$3:$L$66,1,0))&gt;3,VLOOKUP($A100,'1.kolo'!$O$3:$Q$66,3,0),VLOOKUP($A100,'1.kolo'!$L$3:$N$66,3,0))</f>
        <v>0</v>
      </c>
      <c r="AJ100" s="333">
        <f t="shared" ca="1" si="53"/>
        <v>0</v>
      </c>
      <c r="AK100" s="333">
        <v>98</v>
      </c>
      <c r="AL100" s="442"/>
      <c r="AP100" s="333" t="str">
        <f ca="1">IF(TYPE(VLOOKUP($A100,'2.kolo'!$L$3:$L$66,1,0))&gt;3,IF(TYPE(VLOOKUP($A100,'2.kolo'!$K$3:$L$66,2,0))&gt;3,0,VLOOKUP($A100,'2.kolo'!$K$3:$L$66,2,0)),VLOOKUP($A100,'2.kolo'!$L$3:$O$66,4,0))</f>
        <v/>
      </c>
      <c r="AQ100" s="333">
        <f ca="1">IF(TYPE(VLOOKUP($A100,'2.kolo'!$L$3:$L$66,1,0))&gt;3,IF(TYPE(VLOOKUP($A100,'2.kolo'!$O$3:$Q$66,2,0))&gt;3,0,VLOOKUP($A100,'2.kolo'!$O$3:$Q$66,2,0)),VLOOKUP($A100,'2.kolo'!$L$3:$N$66,2,0))</f>
        <v>0</v>
      </c>
      <c r="AR100" s="333">
        <f ca="1">IF(TYPE(VLOOKUP($A100,'2.kolo'!$L$3:$L$66,1,0))&gt;3,IF(TYPE(VLOOKUP($A100,'2.kolo'!$O$3:$Q$66,3,0))&gt;3,0,VLOOKUP($A100,'2.kolo'!$O$3:$Q$66,3,0)),VLOOKUP($A100,'2.kolo'!$L$3:$N$66,3,0))</f>
        <v>0</v>
      </c>
      <c r="AS100" s="333">
        <f t="shared" ca="1" si="54"/>
        <v>0</v>
      </c>
      <c r="AT100" s="415" t="s">
        <v>2005</v>
      </c>
      <c r="AU100" s="442" t="str">
        <f ca="1">IF(AT100="","",CONCATENATE(TEXT($O100,"0"),IF(Start.listina!$Y$5="","",TEXT(500+$P100,"000")),TEXT(999999*RAND(),"000000")))</f>
        <v/>
      </c>
      <c r="AV100" s="333">
        <f t="shared" ca="1" si="63"/>
        <v>0</v>
      </c>
      <c r="AY100" s="333" t="str">
        <f ca="1">IF(TYPE(VLOOKUP($A100,'3.kolo'!$L$3:$L$66,1,0))&gt;3,IF(TYPE(VLOOKUP($A100,'3.kolo'!$K$3:$L$66,2,0))&gt;3,0,VLOOKUP($A100,'3.kolo'!$K$3:$L$66,2,0)),VLOOKUP($A100,'3.kolo'!$L$3:$O$66,4,0))</f>
        <v/>
      </c>
      <c r="AZ100" s="333">
        <f ca="1">IF(TYPE(VLOOKUP($A100,'3.kolo'!$L$3:$L$66,1,0))&gt;3,IF(TYPE(VLOOKUP($A100,'3.kolo'!$O$3:$Q$66,2,0))&gt;3,0,VLOOKUP($A100,'3.kolo'!$O$3:$Q$66,2,0)),VLOOKUP($A100,'3.kolo'!$L$3:$N$66,2,0))</f>
        <v>0</v>
      </c>
      <c r="BA100" s="333">
        <f ca="1">IF(TYPE(VLOOKUP($A100,'3.kolo'!$L$3:$L$66,1,0))&gt;3,IF(TYPE(VLOOKUP($A100,'3.kolo'!$O$3:$Q$66,3,0))&gt;3,0,VLOOKUP($A100,'3.kolo'!$O$3:$Q$66,3,0)),VLOOKUP($A100,'3.kolo'!$L$3:$N$66,3,0))</f>
        <v>0</v>
      </c>
      <c r="BB100" s="333">
        <f t="shared" ca="1" si="55"/>
        <v>0</v>
      </c>
      <c r="BC100" s="415" t="s">
        <v>2005</v>
      </c>
      <c r="BD100" s="442" t="str">
        <f ca="1">IF(BC100="","",CONCATENATE(TEXT($O100,"0"),IF(Start.listina!$Y$5="","",TEXT(500+$P100,"000")),TEXT(999999*RAND(),"000000")))</f>
        <v/>
      </c>
      <c r="BE100" s="333">
        <f t="shared" ca="1" si="64"/>
        <v>0</v>
      </c>
      <c r="BH100" s="333" t="str">
        <f ca="1">IF(TYPE(VLOOKUP($A100,'4.kolo'!$L$3:$L$66,1,0))&gt;3,IF(TYPE(VLOOKUP($A100,'4.kolo'!$K$3:$L$66,2,0))&gt;3,0,VLOOKUP($A100,'4.kolo'!$K$3:$L$66,2,0)),VLOOKUP($A100,'4.kolo'!$L$3:$O$66,4,0))</f>
        <v/>
      </c>
      <c r="BI100" s="333">
        <f ca="1">IF(TYPE(VLOOKUP($A100,'4.kolo'!$L$3:$L$66,1,0))&gt;3,IF(TYPE(VLOOKUP($A100,'4.kolo'!$O$3:$Q$66,2,0))&gt;3,0,VLOOKUP($A100,'4.kolo'!$O$3:$Q$66,2,0)),VLOOKUP($A100,'4.kolo'!$L$3:$N$66,2,0))</f>
        <v>0</v>
      </c>
      <c r="BJ100" s="333">
        <f ca="1">IF(TYPE(VLOOKUP($A100,'4.kolo'!$L$3:$L$66,1,0))&gt;3,IF(TYPE(VLOOKUP($A100,'4.kolo'!$O$3:$Q$66,3,0))&gt;3,0,VLOOKUP($A100,'4.kolo'!$O$3:$Q$66,3,0)),VLOOKUP($A100,'4.kolo'!$L$3:$N$66,3,0))</f>
        <v>0</v>
      </c>
      <c r="BK100" s="333">
        <f t="shared" ca="1" si="56"/>
        <v>0</v>
      </c>
      <c r="BL100" s="415" t="s">
        <v>2005</v>
      </c>
      <c r="BM100" s="442" t="str">
        <f ca="1">IF(BL100="","",CONCATENATE(TEXT($O100,"0"),IF(Start.listina!$Y$5="","",TEXT(500+$P100,"000")),TEXT(999999*RAND(),"000000")))</f>
        <v/>
      </c>
      <c r="BN100" s="333">
        <f t="shared" ca="1" si="65"/>
        <v>0</v>
      </c>
      <c r="BQ100" s="333" t="str">
        <f ca="1">IF(TYPE(VLOOKUP($A100,'5.kolo'!$L$3:$L$66,1,0))&gt;3,IF(TYPE(VLOOKUP($A100,'5.kolo'!$K$3:$L$66,2,0))&gt;3,0,VLOOKUP($A100,'5.kolo'!$K$3:$L$66,2,0)),VLOOKUP($A100,'5.kolo'!$L$3:$O$66,4,0))</f>
        <v/>
      </c>
      <c r="BR100" s="333">
        <f ca="1">IF(TYPE(VLOOKUP($A100,'5.kolo'!$L$3:$L$66,1,0))&gt;3,IF(TYPE(VLOOKUP($A100,'5.kolo'!$O$3:$Q$66,2,0))&gt;3,0,VLOOKUP($A100,'5.kolo'!$O$3:$Q$66,2,0)),VLOOKUP($A100,'5.kolo'!$L$3:$N$66,2,0))</f>
        <v>0</v>
      </c>
      <c r="BS100" s="333">
        <f ca="1">IF(TYPE(VLOOKUP($A100,'5.kolo'!$L$3:$L$66,1,0))&gt;3,IF(TYPE(VLOOKUP($A100,'5.kolo'!$O$3:$Q$66,3,0))&gt;3,0,VLOOKUP($A100,'5.kolo'!$O$3:$Q$66,3,0)),VLOOKUP($A100,'5.kolo'!$L$3:$N$66,3,0))</f>
        <v>0</v>
      </c>
      <c r="BT100" s="333">
        <f t="shared" ca="1" si="57"/>
        <v>0</v>
      </c>
      <c r="BU100" s="415"/>
      <c r="BV100" s="442" t="str">
        <f ca="1">IF(BU100="","",CONCATENATE(TEXT($O100,"0"),IF(Start.listina!$Y$5="","",TEXT(500+$P100,"000")),TEXT(999999*RAND(),"000000")))</f>
        <v/>
      </c>
      <c r="BW100" s="333">
        <f t="shared" ca="1" si="66"/>
        <v>0</v>
      </c>
      <c r="BZ100" s="333" t="str">
        <f ca="1">IF(TYPE(VLOOKUP($A100,'6.kolo'!$L$3:$L$66,1,0))&gt;3,IF(TYPE(VLOOKUP($A100,'6.kolo'!$K$3:$L$66,2,0))&gt;3,0,VLOOKUP($A100,'6.kolo'!$K$3:$L$66,2,0)),VLOOKUP($A100,'6.kolo'!$L$3:$O$66,4,0))</f>
        <v/>
      </c>
      <c r="CA100" s="333">
        <f ca="1">IF(TYPE(VLOOKUP($A100,'6.kolo'!$L$3:$L$66,1,0))&gt;3,IF(TYPE(VLOOKUP($A100,'6.kolo'!$O$3:$Q$66,2,0))&gt;3,0,VLOOKUP($A100,'6.kolo'!$O$3:$Q$66,2,0)),VLOOKUP($A100,'6.kolo'!$L$3:$N$66,2,0))</f>
        <v>0</v>
      </c>
      <c r="CB100" s="333">
        <f ca="1">IF(TYPE(VLOOKUP($A100,'6.kolo'!$L$3:$L$66,1,0))&gt;3,IF(TYPE(VLOOKUP($A100,'6.kolo'!$O$3:$Q$66,3,0))&gt;3,0,VLOOKUP($A100,'6.kolo'!$O$3:$Q$66,3,0)),VLOOKUP($A100,'6.kolo'!$L$3:$N$66,3,0))</f>
        <v>0</v>
      </c>
      <c r="CC100" s="333">
        <f t="shared" ca="1" si="58"/>
        <v>0</v>
      </c>
      <c r="CD100" s="415"/>
      <c r="CE100" s="442" t="str">
        <f ca="1">IF(CD100="","",CONCATENATE(TEXT($O100,"0"),IF(Start.listina!$Y$5="","",TEXT(500+$P100,"000")),TEXT(999999*RAND(),"000000")))</f>
        <v/>
      </c>
      <c r="CF100" s="333">
        <f t="shared" ca="1" si="67"/>
        <v>0</v>
      </c>
    </row>
    <row r="101" spans="1:84" x14ac:dyDescent="0.25">
      <c r="A101" s="333" t="str">
        <f>IF(OR(Start.listina!H109&gt;Start.listina!$K$7,Start.listina!G109=TRUE),"",Start.listina!H109)</f>
        <v/>
      </c>
      <c r="B101" s="333" t="str">
        <f>IF($A101&gt;Start.listina!$K$7,"",INT(($A101-1)/Start.listina!$O$7)+1)</f>
        <v/>
      </c>
      <c r="C101" s="439" t="str">
        <f>IF(OR(Start.listina!H109&gt;Start.listina!$K$7,Start.listina!G109=TRUE)," - ",Start.listina!AL109)</f>
        <v xml:space="preserve"> - </v>
      </c>
      <c r="D101" s="333" t="str">
        <f>IF(OR(A101&gt;Start.listina!$K$7,TYPE(VLOOKUP(A101,$V$3:$X$130,3,0))&gt;3),"",VLOOKUP(A101,$V$3:$X$130,3,0))</f>
        <v/>
      </c>
      <c r="E101" s="440" t="str">
        <f>IF(A101&gt;Start.listina!$K$7,"",IF(MIN(F101:K101)&gt;Start.listina!$Y$4,D101,MIN(F101:K101)))</f>
        <v/>
      </c>
      <c r="F101" s="333">
        <f ca="1">IF(TYPE(VLOOKUP(C101,Konečné_pořadí_1_16!$B$2:$D$17,3,0))&lt;4,VLOOKUP(C101,Konečné_pořadí_1_16!$B$2:$D$17,3,0),999)</f>
        <v>999</v>
      </c>
      <c r="G101" s="333">
        <f ca="1">IF(TYPE(VLOOKUP(C101,'KO64'!$D$4:$D$129,1,0))&lt;4,64,999)</f>
        <v>64</v>
      </c>
      <c r="H101" s="333">
        <f ca="1">IF(TYPE(VLOOKUP(C101,'KO32'!$D$4:$D$65,1,0))&lt;4,32,999)</f>
        <v>32</v>
      </c>
      <c r="I101" s="333">
        <f ca="1">IF(TYPE(VLOOKUP(C101,'KO16'!$D$4:$D$33,1,0))&lt;4,16,999)</f>
        <v>999</v>
      </c>
      <c r="J101" s="333">
        <f ca="1">IF(TYPE(VLOOKUP(C101,'KO8'!$D$4:$D$17,1,0))&lt;4,8,999)</f>
        <v>999</v>
      </c>
      <c r="K101" s="333">
        <f ca="1">IF(TYPE(VLOOKUP(C101,'KO4'!$D$4:$D$9,1,0))&lt;4,4,999)</f>
        <v>999</v>
      </c>
      <c r="M101" s="334">
        <v>99</v>
      </c>
      <c r="O101" s="333">
        <f t="shared" ca="1" si="42"/>
        <v>0</v>
      </c>
      <c r="P101" s="333">
        <f t="shared" ca="1" si="43"/>
        <v>0</v>
      </c>
      <c r="Q101" s="333">
        <f t="shared" ca="1" si="60"/>
        <v>2</v>
      </c>
      <c r="R101" s="333">
        <f t="shared" ca="1" si="61"/>
        <v>0</v>
      </c>
      <c r="S101" s="333">
        <f t="shared" ca="1" si="44"/>
        <v>16</v>
      </c>
      <c r="T101" s="333">
        <f t="shared" ca="1" si="45"/>
        <v>0</v>
      </c>
      <c r="U101" s="415">
        <f t="shared" si="59"/>
        <v>99</v>
      </c>
      <c r="V101" s="415" t="s">
        <v>2005</v>
      </c>
      <c r="W101" s="441" t="str">
        <f ca="1">IF($V101="","",CONCATENATE(TEXT($O101,"0"),IF(Start.listina!$Y$5="","",TEXT(500+$P101,"0000")),IF(Start.listina!$Y$6="","",CHOOSE(Start.listina!$Y$7,TEXT($Q101,"00"),CONCATENATE(TEXT($Q101,"00"),TEXT($S101,"000")), TEXT($R101,"00"))),TEXT(500+$P101,"0000"),IF(Start.listina!$Y$8="","",TEXT($T101,"0")),TEXT(999999*RAND(),"000000")))</f>
        <v/>
      </c>
      <c r="X101" s="417">
        <f t="shared" si="46"/>
        <v>99</v>
      </c>
      <c r="Y101" s="415">
        <f t="shared" ca="1" si="62"/>
        <v>0</v>
      </c>
      <c r="Z101" s="333">
        <f t="shared" ca="1" si="47"/>
        <v>51</v>
      </c>
      <c r="AA101" s="333" t="str">
        <f t="shared" ca="1" si="48"/>
        <v/>
      </c>
      <c r="AB101" s="333" t="str">
        <f t="shared" ca="1" si="49"/>
        <v/>
      </c>
      <c r="AC101" s="333" t="str">
        <f t="shared" ca="1" si="50"/>
        <v/>
      </c>
      <c r="AD101" s="333" t="str">
        <f t="shared" ca="1" si="51"/>
        <v/>
      </c>
      <c r="AE101" s="333" t="str">
        <f t="shared" ca="1" si="52"/>
        <v/>
      </c>
      <c r="AG101" s="333">
        <f ca="1">IF(TYPE(VLOOKUP($A101,'1.kolo'!$L$3:$L$66,1,0))&gt;3,VLOOKUP($A101,'1.kolo'!$K$3:$L$66,2,0),VLOOKUP($A101,'1.kolo'!$L$3:$O$66,4,0))</f>
        <v>51</v>
      </c>
      <c r="AH101" s="333">
        <f ca="1">IF(TYPE(VLOOKUP($A101,'1.kolo'!$L$3:$L$66,1,0))&gt;3,VLOOKUP($A101,'1.kolo'!$O$3:$Q$66,2,0),VLOOKUP($A101,'1.kolo'!$L$3:$N$66,2,0))</f>
        <v>0</v>
      </c>
      <c r="AI101" s="333">
        <f ca="1">IF(TYPE(VLOOKUP($A101,'1.kolo'!$L$3:$L$66,1,0))&gt;3,VLOOKUP($A101,'1.kolo'!$O$3:$Q$66,3,0),VLOOKUP($A101,'1.kolo'!$L$3:$N$66,3,0))</f>
        <v>0</v>
      </c>
      <c r="AJ101" s="333">
        <f t="shared" ca="1" si="53"/>
        <v>0</v>
      </c>
      <c r="AK101" s="333">
        <v>99</v>
      </c>
      <c r="AL101" s="442"/>
      <c r="AP101" s="333" t="str">
        <f ca="1">IF(TYPE(VLOOKUP($A101,'2.kolo'!$L$3:$L$66,1,0))&gt;3,IF(TYPE(VLOOKUP($A101,'2.kolo'!$K$3:$L$66,2,0))&gt;3,0,VLOOKUP($A101,'2.kolo'!$K$3:$L$66,2,0)),VLOOKUP($A101,'2.kolo'!$L$3:$O$66,4,0))</f>
        <v/>
      </c>
      <c r="AQ101" s="333">
        <f ca="1">IF(TYPE(VLOOKUP($A101,'2.kolo'!$L$3:$L$66,1,0))&gt;3,IF(TYPE(VLOOKUP($A101,'2.kolo'!$O$3:$Q$66,2,0))&gt;3,0,VLOOKUP($A101,'2.kolo'!$O$3:$Q$66,2,0)),VLOOKUP($A101,'2.kolo'!$L$3:$N$66,2,0))</f>
        <v>0</v>
      </c>
      <c r="AR101" s="333">
        <f ca="1">IF(TYPE(VLOOKUP($A101,'2.kolo'!$L$3:$L$66,1,0))&gt;3,IF(TYPE(VLOOKUP($A101,'2.kolo'!$O$3:$Q$66,3,0))&gt;3,0,VLOOKUP($A101,'2.kolo'!$O$3:$Q$66,3,0)),VLOOKUP($A101,'2.kolo'!$L$3:$N$66,3,0))</f>
        <v>0</v>
      </c>
      <c r="AS101" s="333">
        <f t="shared" ca="1" si="54"/>
        <v>0</v>
      </c>
      <c r="AT101" s="415" t="s">
        <v>2005</v>
      </c>
      <c r="AU101" s="442" t="str">
        <f ca="1">IF(AT101="","",CONCATENATE(TEXT($O101,"0"),IF(Start.listina!$Y$5="","",TEXT(500+$P101,"000")),TEXT(999999*RAND(),"000000")))</f>
        <v/>
      </c>
      <c r="AV101" s="333">
        <f t="shared" ca="1" si="63"/>
        <v>0</v>
      </c>
      <c r="AY101" s="333" t="str">
        <f ca="1">IF(TYPE(VLOOKUP($A101,'3.kolo'!$L$3:$L$66,1,0))&gt;3,IF(TYPE(VLOOKUP($A101,'3.kolo'!$K$3:$L$66,2,0))&gt;3,0,VLOOKUP($A101,'3.kolo'!$K$3:$L$66,2,0)),VLOOKUP($A101,'3.kolo'!$L$3:$O$66,4,0))</f>
        <v/>
      </c>
      <c r="AZ101" s="333">
        <f ca="1">IF(TYPE(VLOOKUP($A101,'3.kolo'!$L$3:$L$66,1,0))&gt;3,IF(TYPE(VLOOKUP($A101,'3.kolo'!$O$3:$Q$66,2,0))&gt;3,0,VLOOKUP($A101,'3.kolo'!$O$3:$Q$66,2,0)),VLOOKUP($A101,'3.kolo'!$L$3:$N$66,2,0))</f>
        <v>0</v>
      </c>
      <c r="BA101" s="333">
        <f ca="1">IF(TYPE(VLOOKUP($A101,'3.kolo'!$L$3:$L$66,1,0))&gt;3,IF(TYPE(VLOOKUP($A101,'3.kolo'!$O$3:$Q$66,3,0))&gt;3,0,VLOOKUP($A101,'3.kolo'!$O$3:$Q$66,3,0)),VLOOKUP($A101,'3.kolo'!$L$3:$N$66,3,0))</f>
        <v>0</v>
      </c>
      <c r="BB101" s="333">
        <f t="shared" ca="1" si="55"/>
        <v>0</v>
      </c>
      <c r="BC101" s="415" t="s">
        <v>2005</v>
      </c>
      <c r="BD101" s="442" t="str">
        <f ca="1">IF(BC101="","",CONCATENATE(TEXT($O101,"0"),IF(Start.listina!$Y$5="","",TEXT(500+$P101,"000")),TEXT(999999*RAND(),"000000")))</f>
        <v/>
      </c>
      <c r="BE101" s="333">
        <f t="shared" ca="1" si="64"/>
        <v>0</v>
      </c>
      <c r="BH101" s="333" t="str">
        <f ca="1">IF(TYPE(VLOOKUP($A101,'4.kolo'!$L$3:$L$66,1,0))&gt;3,IF(TYPE(VLOOKUP($A101,'4.kolo'!$K$3:$L$66,2,0))&gt;3,0,VLOOKUP($A101,'4.kolo'!$K$3:$L$66,2,0)),VLOOKUP($A101,'4.kolo'!$L$3:$O$66,4,0))</f>
        <v/>
      </c>
      <c r="BI101" s="333">
        <f ca="1">IF(TYPE(VLOOKUP($A101,'4.kolo'!$L$3:$L$66,1,0))&gt;3,IF(TYPE(VLOOKUP($A101,'4.kolo'!$O$3:$Q$66,2,0))&gt;3,0,VLOOKUP($A101,'4.kolo'!$O$3:$Q$66,2,0)),VLOOKUP($A101,'4.kolo'!$L$3:$N$66,2,0))</f>
        <v>0</v>
      </c>
      <c r="BJ101" s="333">
        <f ca="1">IF(TYPE(VLOOKUP($A101,'4.kolo'!$L$3:$L$66,1,0))&gt;3,IF(TYPE(VLOOKUP($A101,'4.kolo'!$O$3:$Q$66,3,0))&gt;3,0,VLOOKUP($A101,'4.kolo'!$O$3:$Q$66,3,0)),VLOOKUP($A101,'4.kolo'!$L$3:$N$66,3,0))</f>
        <v>0</v>
      </c>
      <c r="BK101" s="333">
        <f t="shared" ca="1" si="56"/>
        <v>0</v>
      </c>
      <c r="BL101" s="415" t="s">
        <v>2005</v>
      </c>
      <c r="BM101" s="442" t="str">
        <f ca="1">IF(BL101="","",CONCATENATE(TEXT($O101,"0"),IF(Start.listina!$Y$5="","",TEXT(500+$P101,"000")),TEXT(999999*RAND(),"000000")))</f>
        <v/>
      </c>
      <c r="BN101" s="333">
        <f t="shared" ca="1" si="65"/>
        <v>0</v>
      </c>
      <c r="BQ101" s="333" t="str">
        <f ca="1">IF(TYPE(VLOOKUP($A101,'5.kolo'!$L$3:$L$66,1,0))&gt;3,IF(TYPE(VLOOKUP($A101,'5.kolo'!$K$3:$L$66,2,0))&gt;3,0,VLOOKUP($A101,'5.kolo'!$K$3:$L$66,2,0)),VLOOKUP($A101,'5.kolo'!$L$3:$O$66,4,0))</f>
        <v/>
      </c>
      <c r="BR101" s="333">
        <f ca="1">IF(TYPE(VLOOKUP($A101,'5.kolo'!$L$3:$L$66,1,0))&gt;3,IF(TYPE(VLOOKUP($A101,'5.kolo'!$O$3:$Q$66,2,0))&gt;3,0,VLOOKUP($A101,'5.kolo'!$O$3:$Q$66,2,0)),VLOOKUP($A101,'5.kolo'!$L$3:$N$66,2,0))</f>
        <v>0</v>
      </c>
      <c r="BS101" s="333">
        <f ca="1">IF(TYPE(VLOOKUP($A101,'5.kolo'!$L$3:$L$66,1,0))&gt;3,IF(TYPE(VLOOKUP($A101,'5.kolo'!$O$3:$Q$66,3,0))&gt;3,0,VLOOKUP($A101,'5.kolo'!$O$3:$Q$66,3,0)),VLOOKUP($A101,'5.kolo'!$L$3:$N$66,3,0))</f>
        <v>0</v>
      </c>
      <c r="BT101" s="333">
        <f t="shared" ca="1" si="57"/>
        <v>0</v>
      </c>
      <c r="BU101" s="415"/>
      <c r="BV101" s="442" t="str">
        <f ca="1">IF(BU101="","",CONCATENATE(TEXT($O101,"0"),IF(Start.listina!$Y$5="","",TEXT(500+$P101,"000")),TEXT(999999*RAND(),"000000")))</f>
        <v/>
      </c>
      <c r="BW101" s="333">
        <f t="shared" ca="1" si="66"/>
        <v>0</v>
      </c>
      <c r="BZ101" s="333" t="str">
        <f ca="1">IF(TYPE(VLOOKUP($A101,'6.kolo'!$L$3:$L$66,1,0))&gt;3,IF(TYPE(VLOOKUP($A101,'6.kolo'!$K$3:$L$66,2,0))&gt;3,0,VLOOKUP($A101,'6.kolo'!$K$3:$L$66,2,0)),VLOOKUP($A101,'6.kolo'!$L$3:$O$66,4,0))</f>
        <v/>
      </c>
      <c r="CA101" s="333">
        <f ca="1">IF(TYPE(VLOOKUP($A101,'6.kolo'!$L$3:$L$66,1,0))&gt;3,IF(TYPE(VLOOKUP($A101,'6.kolo'!$O$3:$Q$66,2,0))&gt;3,0,VLOOKUP($A101,'6.kolo'!$O$3:$Q$66,2,0)),VLOOKUP($A101,'6.kolo'!$L$3:$N$66,2,0))</f>
        <v>0</v>
      </c>
      <c r="CB101" s="333">
        <f ca="1">IF(TYPE(VLOOKUP($A101,'6.kolo'!$L$3:$L$66,1,0))&gt;3,IF(TYPE(VLOOKUP($A101,'6.kolo'!$O$3:$Q$66,3,0))&gt;3,0,VLOOKUP($A101,'6.kolo'!$O$3:$Q$66,3,0)),VLOOKUP($A101,'6.kolo'!$L$3:$N$66,3,0))</f>
        <v>0</v>
      </c>
      <c r="CC101" s="333">
        <f t="shared" ca="1" si="58"/>
        <v>0</v>
      </c>
      <c r="CD101" s="415"/>
      <c r="CE101" s="442" t="str">
        <f ca="1">IF(CD101="","",CONCATENATE(TEXT($O101,"0"),IF(Start.listina!$Y$5="","",TEXT(500+$P101,"000")),TEXT(999999*RAND(),"000000")))</f>
        <v/>
      </c>
      <c r="CF101" s="333">
        <f t="shared" ca="1" si="67"/>
        <v>0</v>
      </c>
    </row>
    <row r="102" spans="1:84" x14ac:dyDescent="0.25">
      <c r="A102" s="333" t="str">
        <f>IF(OR(Start.listina!H110&gt;Start.listina!$K$7,Start.listina!G110=TRUE),"",Start.listina!H110)</f>
        <v/>
      </c>
      <c r="B102" s="333" t="str">
        <f>IF($A102&gt;Start.listina!$K$7,"",INT(($A102-1)/Start.listina!$O$7)+1)</f>
        <v/>
      </c>
      <c r="C102" s="439" t="str">
        <f>IF(OR(Start.listina!H110&gt;Start.listina!$K$7,Start.listina!G110=TRUE)," - ",Start.listina!AL110)</f>
        <v xml:space="preserve"> - </v>
      </c>
      <c r="D102" s="333" t="str">
        <f>IF(OR(A102&gt;Start.listina!$K$7,TYPE(VLOOKUP(A102,$V$3:$X$130,3,0))&gt;3),"",VLOOKUP(A102,$V$3:$X$130,3,0))</f>
        <v/>
      </c>
      <c r="E102" s="440" t="str">
        <f>IF(A102&gt;Start.listina!$K$7,"",IF(MIN(F102:K102)&gt;Start.listina!$Y$4,D102,MIN(F102:K102)))</f>
        <v/>
      </c>
      <c r="F102" s="333">
        <f ca="1">IF(TYPE(VLOOKUP(C102,Konečné_pořadí_1_16!$B$2:$D$17,3,0))&lt;4,VLOOKUP(C102,Konečné_pořadí_1_16!$B$2:$D$17,3,0),999)</f>
        <v>999</v>
      </c>
      <c r="G102" s="333">
        <f ca="1">IF(TYPE(VLOOKUP(C102,'KO64'!$D$4:$D$129,1,0))&lt;4,64,999)</f>
        <v>64</v>
      </c>
      <c r="H102" s="333">
        <f ca="1">IF(TYPE(VLOOKUP(C102,'KO32'!$D$4:$D$65,1,0))&lt;4,32,999)</f>
        <v>32</v>
      </c>
      <c r="I102" s="333">
        <f ca="1">IF(TYPE(VLOOKUP(C102,'KO16'!$D$4:$D$33,1,0))&lt;4,16,999)</f>
        <v>999</v>
      </c>
      <c r="J102" s="333">
        <f ca="1">IF(TYPE(VLOOKUP(C102,'KO8'!$D$4:$D$17,1,0))&lt;4,8,999)</f>
        <v>999</v>
      </c>
      <c r="K102" s="333">
        <f ca="1">IF(TYPE(VLOOKUP(C102,'KO4'!$D$4:$D$9,1,0))&lt;4,4,999)</f>
        <v>999</v>
      </c>
      <c r="M102" s="334">
        <v>100</v>
      </c>
      <c r="O102" s="333">
        <f t="shared" ca="1" si="42"/>
        <v>0</v>
      </c>
      <c r="P102" s="333">
        <f t="shared" ca="1" si="43"/>
        <v>0</v>
      </c>
      <c r="Q102" s="333">
        <f t="shared" ca="1" si="60"/>
        <v>2</v>
      </c>
      <c r="R102" s="333">
        <f t="shared" ca="1" si="61"/>
        <v>0</v>
      </c>
      <c r="S102" s="333">
        <f t="shared" ca="1" si="44"/>
        <v>16</v>
      </c>
      <c r="T102" s="333">
        <f t="shared" ca="1" si="45"/>
        <v>0</v>
      </c>
      <c r="U102" s="415">
        <f t="shared" si="59"/>
        <v>100</v>
      </c>
      <c r="V102" s="415" t="s">
        <v>2005</v>
      </c>
      <c r="W102" s="441" t="str">
        <f ca="1">IF($V102="","",CONCATENATE(TEXT($O102,"0"),IF(Start.listina!$Y$5="","",TEXT(500+$P102,"0000")),IF(Start.listina!$Y$6="","",CHOOSE(Start.listina!$Y$7,TEXT($Q102,"00"),CONCATENATE(TEXT($Q102,"00"),TEXT($S102,"000")), TEXT($R102,"00"))),TEXT(500+$P102,"0000"),IF(Start.listina!$Y$8="","",TEXT($T102,"0")),TEXT(999999*RAND(),"000000")))</f>
        <v/>
      </c>
      <c r="X102" s="417">
        <f t="shared" si="46"/>
        <v>100</v>
      </c>
      <c r="Y102" s="415">
        <f t="shared" ca="1" si="62"/>
        <v>0</v>
      </c>
      <c r="Z102" s="333">
        <f t="shared" ca="1" si="47"/>
        <v>51</v>
      </c>
      <c r="AA102" s="333" t="str">
        <f t="shared" ca="1" si="48"/>
        <v/>
      </c>
      <c r="AB102" s="333" t="str">
        <f t="shared" ca="1" si="49"/>
        <v/>
      </c>
      <c r="AC102" s="333" t="str">
        <f t="shared" ca="1" si="50"/>
        <v/>
      </c>
      <c r="AD102" s="333" t="str">
        <f t="shared" ca="1" si="51"/>
        <v/>
      </c>
      <c r="AE102" s="333" t="str">
        <f t="shared" ca="1" si="52"/>
        <v/>
      </c>
      <c r="AG102" s="333">
        <f ca="1">IF(TYPE(VLOOKUP($A102,'1.kolo'!$L$3:$L$66,1,0))&gt;3,VLOOKUP($A102,'1.kolo'!$K$3:$L$66,2,0),VLOOKUP($A102,'1.kolo'!$L$3:$O$66,4,0))</f>
        <v>51</v>
      </c>
      <c r="AH102" s="333">
        <f ca="1">IF(TYPE(VLOOKUP($A102,'1.kolo'!$L$3:$L$66,1,0))&gt;3,VLOOKUP($A102,'1.kolo'!$O$3:$Q$66,2,0),VLOOKUP($A102,'1.kolo'!$L$3:$N$66,2,0))</f>
        <v>0</v>
      </c>
      <c r="AI102" s="333">
        <f ca="1">IF(TYPE(VLOOKUP($A102,'1.kolo'!$L$3:$L$66,1,0))&gt;3,VLOOKUP($A102,'1.kolo'!$O$3:$Q$66,3,0),VLOOKUP($A102,'1.kolo'!$L$3:$N$66,3,0))</f>
        <v>0</v>
      </c>
      <c r="AJ102" s="333">
        <f t="shared" ca="1" si="53"/>
        <v>0</v>
      </c>
      <c r="AK102" s="333">
        <v>100</v>
      </c>
      <c r="AL102" s="442"/>
      <c r="AP102" s="333" t="str">
        <f ca="1">IF(TYPE(VLOOKUP($A102,'2.kolo'!$L$3:$L$66,1,0))&gt;3,IF(TYPE(VLOOKUP($A102,'2.kolo'!$K$3:$L$66,2,0))&gt;3,0,VLOOKUP($A102,'2.kolo'!$K$3:$L$66,2,0)),VLOOKUP($A102,'2.kolo'!$L$3:$O$66,4,0))</f>
        <v/>
      </c>
      <c r="AQ102" s="333">
        <f ca="1">IF(TYPE(VLOOKUP($A102,'2.kolo'!$L$3:$L$66,1,0))&gt;3,IF(TYPE(VLOOKUP($A102,'2.kolo'!$O$3:$Q$66,2,0))&gt;3,0,VLOOKUP($A102,'2.kolo'!$O$3:$Q$66,2,0)),VLOOKUP($A102,'2.kolo'!$L$3:$N$66,2,0))</f>
        <v>0</v>
      </c>
      <c r="AR102" s="333">
        <f ca="1">IF(TYPE(VLOOKUP($A102,'2.kolo'!$L$3:$L$66,1,0))&gt;3,IF(TYPE(VLOOKUP($A102,'2.kolo'!$O$3:$Q$66,3,0))&gt;3,0,VLOOKUP($A102,'2.kolo'!$O$3:$Q$66,3,0)),VLOOKUP($A102,'2.kolo'!$L$3:$N$66,3,0))</f>
        <v>0</v>
      </c>
      <c r="AS102" s="333">
        <f t="shared" ca="1" si="54"/>
        <v>0</v>
      </c>
      <c r="AT102" s="415" t="s">
        <v>2005</v>
      </c>
      <c r="AU102" s="442" t="str">
        <f ca="1">IF(AT102="","",CONCATENATE(TEXT($O102,"0"),IF(Start.listina!$Y$5="","",TEXT(500+$P102,"000")),TEXT(999999*RAND(),"000000")))</f>
        <v/>
      </c>
      <c r="AV102" s="333">
        <f t="shared" ca="1" si="63"/>
        <v>0</v>
      </c>
      <c r="AY102" s="333" t="str">
        <f ca="1">IF(TYPE(VLOOKUP($A102,'3.kolo'!$L$3:$L$66,1,0))&gt;3,IF(TYPE(VLOOKUP($A102,'3.kolo'!$K$3:$L$66,2,0))&gt;3,0,VLOOKUP($A102,'3.kolo'!$K$3:$L$66,2,0)),VLOOKUP($A102,'3.kolo'!$L$3:$O$66,4,0))</f>
        <v/>
      </c>
      <c r="AZ102" s="333">
        <f ca="1">IF(TYPE(VLOOKUP($A102,'3.kolo'!$L$3:$L$66,1,0))&gt;3,IF(TYPE(VLOOKUP($A102,'3.kolo'!$O$3:$Q$66,2,0))&gt;3,0,VLOOKUP($A102,'3.kolo'!$O$3:$Q$66,2,0)),VLOOKUP($A102,'3.kolo'!$L$3:$N$66,2,0))</f>
        <v>0</v>
      </c>
      <c r="BA102" s="333">
        <f ca="1">IF(TYPE(VLOOKUP($A102,'3.kolo'!$L$3:$L$66,1,0))&gt;3,IF(TYPE(VLOOKUP($A102,'3.kolo'!$O$3:$Q$66,3,0))&gt;3,0,VLOOKUP($A102,'3.kolo'!$O$3:$Q$66,3,0)),VLOOKUP($A102,'3.kolo'!$L$3:$N$66,3,0))</f>
        <v>0</v>
      </c>
      <c r="BB102" s="333">
        <f t="shared" ca="1" si="55"/>
        <v>0</v>
      </c>
      <c r="BC102" s="415" t="s">
        <v>2005</v>
      </c>
      <c r="BD102" s="442" t="str">
        <f ca="1">IF(BC102="","",CONCATENATE(TEXT($O102,"0"),IF(Start.listina!$Y$5="","",TEXT(500+$P102,"000")),TEXT(999999*RAND(),"000000")))</f>
        <v/>
      </c>
      <c r="BE102" s="333">
        <f t="shared" ca="1" si="64"/>
        <v>0</v>
      </c>
      <c r="BH102" s="333" t="str">
        <f ca="1">IF(TYPE(VLOOKUP($A102,'4.kolo'!$L$3:$L$66,1,0))&gt;3,IF(TYPE(VLOOKUP($A102,'4.kolo'!$K$3:$L$66,2,0))&gt;3,0,VLOOKUP($A102,'4.kolo'!$K$3:$L$66,2,0)),VLOOKUP($A102,'4.kolo'!$L$3:$O$66,4,0))</f>
        <v/>
      </c>
      <c r="BI102" s="333">
        <f ca="1">IF(TYPE(VLOOKUP($A102,'4.kolo'!$L$3:$L$66,1,0))&gt;3,IF(TYPE(VLOOKUP($A102,'4.kolo'!$O$3:$Q$66,2,0))&gt;3,0,VLOOKUP($A102,'4.kolo'!$O$3:$Q$66,2,0)),VLOOKUP($A102,'4.kolo'!$L$3:$N$66,2,0))</f>
        <v>0</v>
      </c>
      <c r="BJ102" s="333">
        <f ca="1">IF(TYPE(VLOOKUP($A102,'4.kolo'!$L$3:$L$66,1,0))&gt;3,IF(TYPE(VLOOKUP($A102,'4.kolo'!$O$3:$Q$66,3,0))&gt;3,0,VLOOKUP($A102,'4.kolo'!$O$3:$Q$66,3,0)),VLOOKUP($A102,'4.kolo'!$L$3:$N$66,3,0))</f>
        <v>0</v>
      </c>
      <c r="BK102" s="333">
        <f t="shared" ca="1" si="56"/>
        <v>0</v>
      </c>
      <c r="BL102" s="415" t="s">
        <v>2005</v>
      </c>
      <c r="BM102" s="442" t="str">
        <f ca="1">IF(BL102="","",CONCATENATE(TEXT($O102,"0"),IF(Start.listina!$Y$5="","",TEXT(500+$P102,"000")),TEXT(999999*RAND(),"000000")))</f>
        <v/>
      </c>
      <c r="BN102" s="333">
        <f t="shared" ca="1" si="65"/>
        <v>0</v>
      </c>
      <c r="BQ102" s="333" t="str">
        <f ca="1">IF(TYPE(VLOOKUP($A102,'5.kolo'!$L$3:$L$66,1,0))&gt;3,IF(TYPE(VLOOKUP($A102,'5.kolo'!$K$3:$L$66,2,0))&gt;3,0,VLOOKUP($A102,'5.kolo'!$K$3:$L$66,2,0)),VLOOKUP($A102,'5.kolo'!$L$3:$O$66,4,0))</f>
        <v/>
      </c>
      <c r="BR102" s="333">
        <f ca="1">IF(TYPE(VLOOKUP($A102,'5.kolo'!$L$3:$L$66,1,0))&gt;3,IF(TYPE(VLOOKUP($A102,'5.kolo'!$O$3:$Q$66,2,0))&gt;3,0,VLOOKUP($A102,'5.kolo'!$O$3:$Q$66,2,0)),VLOOKUP($A102,'5.kolo'!$L$3:$N$66,2,0))</f>
        <v>0</v>
      </c>
      <c r="BS102" s="333">
        <f ca="1">IF(TYPE(VLOOKUP($A102,'5.kolo'!$L$3:$L$66,1,0))&gt;3,IF(TYPE(VLOOKUP($A102,'5.kolo'!$O$3:$Q$66,3,0))&gt;3,0,VLOOKUP($A102,'5.kolo'!$O$3:$Q$66,3,0)),VLOOKUP($A102,'5.kolo'!$L$3:$N$66,3,0))</f>
        <v>0</v>
      </c>
      <c r="BT102" s="333">
        <f t="shared" ca="1" si="57"/>
        <v>0</v>
      </c>
      <c r="BU102" s="415"/>
      <c r="BV102" s="442" t="str">
        <f ca="1">IF(BU102="","",CONCATENATE(TEXT($O102,"0"),IF(Start.listina!$Y$5="","",TEXT(500+$P102,"000")),TEXT(999999*RAND(),"000000")))</f>
        <v/>
      </c>
      <c r="BW102" s="333">
        <f t="shared" ca="1" si="66"/>
        <v>0</v>
      </c>
      <c r="BZ102" s="333" t="str">
        <f ca="1">IF(TYPE(VLOOKUP($A102,'6.kolo'!$L$3:$L$66,1,0))&gt;3,IF(TYPE(VLOOKUP($A102,'6.kolo'!$K$3:$L$66,2,0))&gt;3,0,VLOOKUP($A102,'6.kolo'!$K$3:$L$66,2,0)),VLOOKUP($A102,'6.kolo'!$L$3:$O$66,4,0))</f>
        <v/>
      </c>
      <c r="CA102" s="333">
        <f ca="1">IF(TYPE(VLOOKUP($A102,'6.kolo'!$L$3:$L$66,1,0))&gt;3,IF(TYPE(VLOOKUP($A102,'6.kolo'!$O$3:$Q$66,2,0))&gt;3,0,VLOOKUP($A102,'6.kolo'!$O$3:$Q$66,2,0)),VLOOKUP($A102,'6.kolo'!$L$3:$N$66,2,0))</f>
        <v>0</v>
      </c>
      <c r="CB102" s="333">
        <f ca="1">IF(TYPE(VLOOKUP($A102,'6.kolo'!$L$3:$L$66,1,0))&gt;3,IF(TYPE(VLOOKUP($A102,'6.kolo'!$O$3:$Q$66,3,0))&gt;3,0,VLOOKUP($A102,'6.kolo'!$O$3:$Q$66,3,0)),VLOOKUP($A102,'6.kolo'!$L$3:$N$66,3,0))</f>
        <v>0</v>
      </c>
      <c r="CC102" s="333">
        <f t="shared" ca="1" si="58"/>
        <v>0</v>
      </c>
      <c r="CD102" s="415"/>
      <c r="CE102" s="442" t="str">
        <f ca="1">IF(CD102="","",CONCATENATE(TEXT($O102,"0"),IF(Start.listina!$Y$5="","",TEXT(500+$P102,"000")),TEXT(999999*RAND(),"000000")))</f>
        <v/>
      </c>
      <c r="CF102" s="333">
        <f t="shared" ca="1" si="67"/>
        <v>0</v>
      </c>
    </row>
    <row r="103" spans="1:84" x14ac:dyDescent="0.25">
      <c r="A103" s="333" t="str">
        <f>IF(OR(Start.listina!H111&gt;Start.listina!$K$7,Start.listina!G111=TRUE),"",Start.listina!H111)</f>
        <v/>
      </c>
      <c r="B103" s="333" t="str">
        <f>IF($A103&gt;Start.listina!$K$7,"",INT(($A103-1)/Start.listina!$O$7)+1)</f>
        <v/>
      </c>
      <c r="C103" s="439" t="str">
        <f>IF(OR(Start.listina!H111&gt;Start.listina!$K$7,Start.listina!G111=TRUE)," - ",Start.listina!AL111)</f>
        <v xml:space="preserve"> - </v>
      </c>
      <c r="D103" s="333" t="str">
        <f>IF(OR(A103&gt;Start.listina!$K$7,TYPE(VLOOKUP(A103,$V$3:$X$130,3,0))&gt;3),"",VLOOKUP(A103,$V$3:$X$130,3,0))</f>
        <v/>
      </c>
      <c r="E103" s="440" t="str">
        <f>IF(A103&gt;Start.listina!$K$7,"",IF(MIN(F103:K103)&gt;Start.listina!$Y$4,D103,MIN(F103:K103)))</f>
        <v/>
      </c>
      <c r="F103" s="333">
        <f ca="1">IF(TYPE(VLOOKUP(C103,Konečné_pořadí_1_16!$B$2:$D$17,3,0))&lt;4,VLOOKUP(C103,Konečné_pořadí_1_16!$B$2:$D$17,3,0),999)</f>
        <v>999</v>
      </c>
      <c r="G103" s="333">
        <f ca="1">IF(TYPE(VLOOKUP(C103,'KO64'!$D$4:$D$129,1,0))&lt;4,64,999)</f>
        <v>64</v>
      </c>
      <c r="H103" s="333">
        <f ca="1">IF(TYPE(VLOOKUP(C103,'KO32'!$D$4:$D$65,1,0))&lt;4,32,999)</f>
        <v>32</v>
      </c>
      <c r="I103" s="333">
        <f ca="1">IF(TYPE(VLOOKUP(C103,'KO16'!$D$4:$D$33,1,0))&lt;4,16,999)</f>
        <v>999</v>
      </c>
      <c r="J103" s="333">
        <f ca="1">IF(TYPE(VLOOKUP(C103,'KO8'!$D$4:$D$17,1,0))&lt;4,8,999)</f>
        <v>999</v>
      </c>
      <c r="K103" s="333">
        <f ca="1">IF(TYPE(VLOOKUP(C103,'KO4'!$D$4:$D$9,1,0))&lt;4,4,999)</f>
        <v>999</v>
      </c>
      <c r="M103" s="334">
        <v>101</v>
      </c>
      <c r="O103" s="333">
        <f t="shared" ca="1" si="42"/>
        <v>0</v>
      </c>
      <c r="P103" s="333">
        <f t="shared" ca="1" si="43"/>
        <v>0</v>
      </c>
      <c r="Q103" s="333">
        <f t="shared" ca="1" si="60"/>
        <v>2</v>
      </c>
      <c r="R103" s="333">
        <f t="shared" ca="1" si="61"/>
        <v>0</v>
      </c>
      <c r="S103" s="333">
        <f t="shared" ca="1" si="44"/>
        <v>16</v>
      </c>
      <c r="T103" s="333">
        <f t="shared" ca="1" si="45"/>
        <v>0</v>
      </c>
      <c r="U103" s="415">
        <f t="shared" si="59"/>
        <v>101</v>
      </c>
      <c r="V103" s="415" t="s">
        <v>2005</v>
      </c>
      <c r="W103" s="441" t="str">
        <f ca="1">IF($V103="","",CONCATENATE(TEXT($O103,"0"),IF(Start.listina!$Y$5="","",TEXT(500+$P103,"0000")),IF(Start.listina!$Y$6="","",CHOOSE(Start.listina!$Y$7,TEXT($Q103,"00"),CONCATENATE(TEXT($Q103,"00"),TEXT($S103,"000")), TEXT($R103,"00"))),TEXT(500+$P103,"0000"),IF(Start.listina!$Y$8="","",TEXT($T103,"0")),TEXT(999999*RAND(),"000000")))</f>
        <v/>
      </c>
      <c r="X103" s="417">
        <f t="shared" si="46"/>
        <v>101</v>
      </c>
      <c r="Y103" s="415">
        <f t="shared" ca="1" si="62"/>
        <v>0</v>
      </c>
      <c r="Z103" s="333">
        <f t="shared" ca="1" si="47"/>
        <v>51</v>
      </c>
      <c r="AA103" s="333" t="str">
        <f t="shared" ca="1" si="48"/>
        <v/>
      </c>
      <c r="AB103" s="333" t="str">
        <f t="shared" ca="1" si="49"/>
        <v/>
      </c>
      <c r="AC103" s="333" t="str">
        <f t="shared" ca="1" si="50"/>
        <v/>
      </c>
      <c r="AD103" s="333" t="str">
        <f t="shared" ca="1" si="51"/>
        <v/>
      </c>
      <c r="AE103" s="333" t="str">
        <f t="shared" ca="1" si="52"/>
        <v/>
      </c>
      <c r="AG103" s="333">
        <f ca="1">IF(TYPE(VLOOKUP($A103,'1.kolo'!$L$3:$L$66,1,0))&gt;3,VLOOKUP($A103,'1.kolo'!$K$3:$L$66,2,0),VLOOKUP($A103,'1.kolo'!$L$3:$O$66,4,0))</f>
        <v>51</v>
      </c>
      <c r="AH103" s="333">
        <f ca="1">IF(TYPE(VLOOKUP($A103,'1.kolo'!$L$3:$L$66,1,0))&gt;3,VLOOKUP($A103,'1.kolo'!$O$3:$Q$66,2,0),VLOOKUP($A103,'1.kolo'!$L$3:$N$66,2,0))</f>
        <v>0</v>
      </c>
      <c r="AI103" s="333">
        <f ca="1">IF(TYPE(VLOOKUP($A103,'1.kolo'!$L$3:$L$66,1,0))&gt;3,VLOOKUP($A103,'1.kolo'!$O$3:$Q$66,3,0),VLOOKUP($A103,'1.kolo'!$L$3:$N$66,3,0))</f>
        <v>0</v>
      </c>
      <c r="AJ103" s="333">
        <f t="shared" ca="1" si="53"/>
        <v>0</v>
      </c>
      <c r="AK103" s="333">
        <v>101</v>
      </c>
      <c r="AL103" s="442"/>
      <c r="AP103" s="333" t="str">
        <f ca="1">IF(TYPE(VLOOKUP($A103,'2.kolo'!$L$3:$L$66,1,0))&gt;3,IF(TYPE(VLOOKUP($A103,'2.kolo'!$K$3:$L$66,2,0))&gt;3,0,VLOOKUP($A103,'2.kolo'!$K$3:$L$66,2,0)),VLOOKUP($A103,'2.kolo'!$L$3:$O$66,4,0))</f>
        <v/>
      </c>
      <c r="AQ103" s="333">
        <f ca="1">IF(TYPE(VLOOKUP($A103,'2.kolo'!$L$3:$L$66,1,0))&gt;3,IF(TYPE(VLOOKUP($A103,'2.kolo'!$O$3:$Q$66,2,0))&gt;3,0,VLOOKUP($A103,'2.kolo'!$O$3:$Q$66,2,0)),VLOOKUP($A103,'2.kolo'!$L$3:$N$66,2,0))</f>
        <v>0</v>
      </c>
      <c r="AR103" s="333">
        <f ca="1">IF(TYPE(VLOOKUP($A103,'2.kolo'!$L$3:$L$66,1,0))&gt;3,IF(TYPE(VLOOKUP($A103,'2.kolo'!$O$3:$Q$66,3,0))&gt;3,0,VLOOKUP($A103,'2.kolo'!$O$3:$Q$66,3,0)),VLOOKUP($A103,'2.kolo'!$L$3:$N$66,3,0))</f>
        <v>0</v>
      </c>
      <c r="AS103" s="333">
        <f t="shared" ca="1" si="54"/>
        <v>0</v>
      </c>
      <c r="AT103" s="415" t="s">
        <v>2005</v>
      </c>
      <c r="AU103" s="442" t="str">
        <f ca="1">IF(AT103="","",CONCATENATE(TEXT($O103,"0"),IF(Start.listina!$Y$5="","",TEXT(500+$P103,"000")),TEXT(999999*RAND(),"000000")))</f>
        <v/>
      </c>
      <c r="AV103" s="333">
        <f t="shared" ca="1" si="63"/>
        <v>0</v>
      </c>
      <c r="AY103" s="333" t="str">
        <f ca="1">IF(TYPE(VLOOKUP($A103,'3.kolo'!$L$3:$L$66,1,0))&gt;3,IF(TYPE(VLOOKUP($A103,'3.kolo'!$K$3:$L$66,2,0))&gt;3,0,VLOOKUP($A103,'3.kolo'!$K$3:$L$66,2,0)),VLOOKUP($A103,'3.kolo'!$L$3:$O$66,4,0))</f>
        <v/>
      </c>
      <c r="AZ103" s="333">
        <f ca="1">IF(TYPE(VLOOKUP($A103,'3.kolo'!$L$3:$L$66,1,0))&gt;3,IF(TYPE(VLOOKUP($A103,'3.kolo'!$O$3:$Q$66,2,0))&gt;3,0,VLOOKUP($A103,'3.kolo'!$O$3:$Q$66,2,0)),VLOOKUP($A103,'3.kolo'!$L$3:$N$66,2,0))</f>
        <v>0</v>
      </c>
      <c r="BA103" s="333">
        <f ca="1">IF(TYPE(VLOOKUP($A103,'3.kolo'!$L$3:$L$66,1,0))&gt;3,IF(TYPE(VLOOKUP($A103,'3.kolo'!$O$3:$Q$66,3,0))&gt;3,0,VLOOKUP($A103,'3.kolo'!$O$3:$Q$66,3,0)),VLOOKUP($A103,'3.kolo'!$L$3:$N$66,3,0))</f>
        <v>0</v>
      </c>
      <c r="BB103" s="333">
        <f t="shared" ca="1" si="55"/>
        <v>0</v>
      </c>
      <c r="BC103" s="415" t="s">
        <v>2005</v>
      </c>
      <c r="BD103" s="442" t="str">
        <f ca="1">IF(BC103="","",CONCATENATE(TEXT($O103,"0"),IF(Start.listina!$Y$5="","",TEXT(500+$P103,"000")),TEXT(999999*RAND(),"000000")))</f>
        <v/>
      </c>
      <c r="BE103" s="333">
        <f t="shared" ca="1" si="64"/>
        <v>0</v>
      </c>
      <c r="BH103" s="333" t="str">
        <f ca="1">IF(TYPE(VLOOKUP($A103,'4.kolo'!$L$3:$L$66,1,0))&gt;3,IF(TYPE(VLOOKUP($A103,'4.kolo'!$K$3:$L$66,2,0))&gt;3,0,VLOOKUP($A103,'4.kolo'!$K$3:$L$66,2,0)),VLOOKUP($A103,'4.kolo'!$L$3:$O$66,4,0))</f>
        <v/>
      </c>
      <c r="BI103" s="333">
        <f ca="1">IF(TYPE(VLOOKUP($A103,'4.kolo'!$L$3:$L$66,1,0))&gt;3,IF(TYPE(VLOOKUP($A103,'4.kolo'!$O$3:$Q$66,2,0))&gt;3,0,VLOOKUP($A103,'4.kolo'!$O$3:$Q$66,2,0)),VLOOKUP($A103,'4.kolo'!$L$3:$N$66,2,0))</f>
        <v>0</v>
      </c>
      <c r="BJ103" s="333">
        <f ca="1">IF(TYPE(VLOOKUP($A103,'4.kolo'!$L$3:$L$66,1,0))&gt;3,IF(TYPE(VLOOKUP($A103,'4.kolo'!$O$3:$Q$66,3,0))&gt;3,0,VLOOKUP($A103,'4.kolo'!$O$3:$Q$66,3,0)),VLOOKUP($A103,'4.kolo'!$L$3:$N$66,3,0))</f>
        <v>0</v>
      </c>
      <c r="BK103" s="333">
        <f t="shared" ca="1" si="56"/>
        <v>0</v>
      </c>
      <c r="BL103" s="415" t="s">
        <v>2005</v>
      </c>
      <c r="BM103" s="442" t="str">
        <f ca="1">IF(BL103="","",CONCATENATE(TEXT($O103,"0"),IF(Start.listina!$Y$5="","",TEXT(500+$P103,"000")),TEXT(999999*RAND(),"000000")))</f>
        <v/>
      </c>
      <c r="BN103" s="333">
        <f t="shared" ca="1" si="65"/>
        <v>0</v>
      </c>
      <c r="BQ103" s="333" t="str">
        <f ca="1">IF(TYPE(VLOOKUP($A103,'5.kolo'!$L$3:$L$66,1,0))&gt;3,IF(TYPE(VLOOKUP($A103,'5.kolo'!$K$3:$L$66,2,0))&gt;3,0,VLOOKUP($A103,'5.kolo'!$K$3:$L$66,2,0)),VLOOKUP($A103,'5.kolo'!$L$3:$O$66,4,0))</f>
        <v/>
      </c>
      <c r="BR103" s="333">
        <f ca="1">IF(TYPE(VLOOKUP($A103,'5.kolo'!$L$3:$L$66,1,0))&gt;3,IF(TYPE(VLOOKUP($A103,'5.kolo'!$O$3:$Q$66,2,0))&gt;3,0,VLOOKUP($A103,'5.kolo'!$O$3:$Q$66,2,0)),VLOOKUP($A103,'5.kolo'!$L$3:$N$66,2,0))</f>
        <v>0</v>
      </c>
      <c r="BS103" s="333">
        <f ca="1">IF(TYPE(VLOOKUP($A103,'5.kolo'!$L$3:$L$66,1,0))&gt;3,IF(TYPE(VLOOKUP($A103,'5.kolo'!$O$3:$Q$66,3,0))&gt;3,0,VLOOKUP($A103,'5.kolo'!$O$3:$Q$66,3,0)),VLOOKUP($A103,'5.kolo'!$L$3:$N$66,3,0))</f>
        <v>0</v>
      </c>
      <c r="BT103" s="333">
        <f t="shared" ca="1" si="57"/>
        <v>0</v>
      </c>
      <c r="BU103" s="415"/>
      <c r="BV103" s="442" t="str">
        <f ca="1">IF(BU103="","",CONCATENATE(TEXT($O103,"0"),IF(Start.listina!$Y$5="","",TEXT(500+$P103,"000")),TEXT(999999*RAND(),"000000")))</f>
        <v/>
      </c>
      <c r="BW103" s="333">
        <f t="shared" ca="1" si="66"/>
        <v>0</v>
      </c>
      <c r="BZ103" s="333" t="str">
        <f ca="1">IF(TYPE(VLOOKUP($A103,'6.kolo'!$L$3:$L$66,1,0))&gt;3,IF(TYPE(VLOOKUP($A103,'6.kolo'!$K$3:$L$66,2,0))&gt;3,0,VLOOKUP($A103,'6.kolo'!$K$3:$L$66,2,0)),VLOOKUP($A103,'6.kolo'!$L$3:$O$66,4,0))</f>
        <v/>
      </c>
      <c r="CA103" s="333">
        <f ca="1">IF(TYPE(VLOOKUP($A103,'6.kolo'!$L$3:$L$66,1,0))&gt;3,IF(TYPE(VLOOKUP($A103,'6.kolo'!$O$3:$Q$66,2,0))&gt;3,0,VLOOKUP($A103,'6.kolo'!$O$3:$Q$66,2,0)),VLOOKUP($A103,'6.kolo'!$L$3:$N$66,2,0))</f>
        <v>0</v>
      </c>
      <c r="CB103" s="333">
        <f ca="1">IF(TYPE(VLOOKUP($A103,'6.kolo'!$L$3:$L$66,1,0))&gt;3,IF(TYPE(VLOOKUP($A103,'6.kolo'!$O$3:$Q$66,3,0))&gt;3,0,VLOOKUP($A103,'6.kolo'!$O$3:$Q$66,3,0)),VLOOKUP($A103,'6.kolo'!$L$3:$N$66,3,0))</f>
        <v>0</v>
      </c>
      <c r="CC103" s="333">
        <f t="shared" ca="1" si="58"/>
        <v>0</v>
      </c>
      <c r="CD103" s="415"/>
      <c r="CE103" s="442" t="str">
        <f ca="1">IF(CD103="","",CONCATENATE(TEXT($O103,"0"),IF(Start.listina!$Y$5="","",TEXT(500+$P103,"000")),TEXT(999999*RAND(),"000000")))</f>
        <v/>
      </c>
      <c r="CF103" s="333">
        <f t="shared" ca="1" si="67"/>
        <v>0</v>
      </c>
    </row>
    <row r="104" spans="1:84" x14ac:dyDescent="0.25">
      <c r="A104" s="333" t="str">
        <f>IF(OR(Start.listina!H112&gt;Start.listina!$K$7,Start.listina!G112=TRUE),"",Start.listina!H112)</f>
        <v/>
      </c>
      <c r="B104" s="333" t="str">
        <f>IF($A104&gt;Start.listina!$K$7,"",INT(($A104-1)/Start.listina!$O$7)+1)</f>
        <v/>
      </c>
      <c r="C104" s="439" t="str">
        <f>IF(OR(Start.listina!H112&gt;Start.listina!$K$7,Start.listina!G112=TRUE)," - ",Start.listina!AL112)</f>
        <v xml:space="preserve"> - </v>
      </c>
      <c r="D104" s="333" t="str">
        <f>IF(OR(A104&gt;Start.listina!$K$7,TYPE(VLOOKUP(A104,$V$3:$X$130,3,0))&gt;3),"",VLOOKUP(A104,$V$3:$X$130,3,0))</f>
        <v/>
      </c>
      <c r="E104" s="440" t="str">
        <f>IF(A104&gt;Start.listina!$K$7,"",IF(MIN(F104:K104)&gt;Start.listina!$Y$4,D104,MIN(F104:K104)))</f>
        <v/>
      </c>
      <c r="F104" s="333">
        <f ca="1">IF(TYPE(VLOOKUP(C104,Konečné_pořadí_1_16!$B$2:$D$17,3,0))&lt;4,VLOOKUP(C104,Konečné_pořadí_1_16!$B$2:$D$17,3,0),999)</f>
        <v>999</v>
      </c>
      <c r="G104" s="333">
        <f ca="1">IF(TYPE(VLOOKUP(C104,'KO64'!$D$4:$D$129,1,0))&lt;4,64,999)</f>
        <v>64</v>
      </c>
      <c r="H104" s="333">
        <f ca="1">IF(TYPE(VLOOKUP(C104,'KO32'!$D$4:$D$65,1,0))&lt;4,32,999)</f>
        <v>32</v>
      </c>
      <c r="I104" s="333">
        <f ca="1">IF(TYPE(VLOOKUP(C104,'KO16'!$D$4:$D$33,1,0))&lt;4,16,999)</f>
        <v>999</v>
      </c>
      <c r="J104" s="333">
        <f ca="1">IF(TYPE(VLOOKUP(C104,'KO8'!$D$4:$D$17,1,0))&lt;4,8,999)</f>
        <v>999</v>
      </c>
      <c r="K104" s="333">
        <f ca="1">IF(TYPE(VLOOKUP(C104,'KO4'!$D$4:$D$9,1,0))&lt;4,4,999)</f>
        <v>999</v>
      </c>
      <c r="M104" s="334">
        <v>102</v>
      </c>
      <c r="O104" s="333">
        <f t="shared" ca="1" si="42"/>
        <v>0</v>
      </c>
      <c r="P104" s="333">
        <f t="shared" ca="1" si="43"/>
        <v>0</v>
      </c>
      <c r="Q104" s="333">
        <f t="shared" ca="1" si="60"/>
        <v>2</v>
      </c>
      <c r="R104" s="333">
        <f t="shared" ca="1" si="61"/>
        <v>0</v>
      </c>
      <c r="S104" s="333">
        <f t="shared" ca="1" si="44"/>
        <v>16</v>
      </c>
      <c r="T104" s="333">
        <f t="shared" ca="1" si="45"/>
        <v>0</v>
      </c>
      <c r="U104" s="415">
        <f t="shared" si="59"/>
        <v>102</v>
      </c>
      <c r="V104" s="415" t="s">
        <v>2005</v>
      </c>
      <c r="W104" s="441" t="str">
        <f ca="1">IF($V104="","",CONCATENATE(TEXT($O104,"0"),IF(Start.listina!$Y$5="","",TEXT(500+$P104,"0000")),IF(Start.listina!$Y$6="","",CHOOSE(Start.listina!$Y$7,TEXT($Q104,"00"),CONCATENATE(TEXT($Q104,"00"),TEXT($S104,"000")), TEXT($R104,"00"))),TEXT(500+$P104,"0000"),IF(Start.listina!$Y$8="","",TEXT($T104,"0")),TEXT(999999*RAND(),"000000")))</f>
        <v/>
      </c>
      <c r="X104" s="417">
        <f t="shared" si="46"/>
        <v>102</v>
      </c>
      <c r="Y104" s="415">
        <f t="shared" ca="1" si="62"/>
        <v>0</v>
      </c>
      <c r="Z104" s="333">
        <f t="shared" ca="1" si="47"/>
        <v>51</v>
      </c>
      <c r="AA104" s="333" t="str">
        <f t="shared" ca="1" si="48"/>
        <v/>
      </c>
      <c r="AB104" s="333" t="str">
        <f t="shared" ca="1" si="49"/>
        <v/>
      </c>
      <c r="AC104" s="333" t="str">
        <f t="shared" ca="1" si="50"/>
        <v/>
      </c>
      <c r="AD104" s="333" t="str">
        <f t="shared" ca="1" si="51"/>
        <v/>
      </c>
      <c r="AE104" s="333" t="str">
        <f t="shared" ca="1" si="52"/>
        <v/>
      </c>
      <c r="AG104" s="333">
        <f ca="1">IF(TYPE(VLOOKUP($A104,'1.kolo'!$L$3:$L$66,1,0))&gt;3,VLOOKUP($A104,'1.kolo'!$K$3:$L$66,2,0),VLOOKUP($A104,'1.kolo'!$L$3:$O$66,4,0))</f>
        <v>51</v>
      </c>
      <c r="AH104" s="333">
        <f ca="1">IF(TYPE(VLOOKUP($A104,'1.kolo'!$L$3:$L$66,1,0))&gt;3,VLOOKUP($A104,'1.kolo'!$O$3:$Q$66,2,0),VLOOKUP($A104,'1.kolo'!$L$3:$N$66,2,0))</f>
        <v>0</v>
      </c>
      <c r="AI104" s="333">
        <f ca="1">IF(TYPE(VLOOKUP($A104,'1.kolo'!$L$3:$L$66,1,0))&gt;3,VLOOKUP($A104,'1.kolo'!$O$3:$Q$66,3,0),VLOOKUP($A104,'1.kolo'!$L$3:$N$66,3,0))</f>
        <v>0</v>
      </c>
      <c r="AJ104" s="333">
        <f t="shared" ca="1" si="53"/>
        <v>0</v>
      </c>
      <c r="AK104" s="333">
        <v>102</v>
      </c>
      <c r="AL104" s="442"/>
      <c r="AP104" s="333" t="str">
        <f ca="1">IF(TYPE(VLOOKUP($A104,'2.kolo'!$L$3:$L$66,1,0))&gt;3,IF(TYPE(VLOOKUP($A104,'2.kolo'!$K$3:$L$66,2,0))&gt;3,0,VLOOKUP($A104,'2.kolo'!$K$3:$L$66,2,0)),VLOOKUP($A104,'2.kolo'!$L$3:$O$66,4,0))</f>
        <v/>
      </c>
      <c r="AQ104" s="333">
        <f ca="1">IF(TYPE(VLOOKUP($A104,'2.kolo'!$L$3:$L$66,1,0))&gt;3,IF(TYPE(VLOOKUP($A104,'2.kolo'!$O$3:$Q$66,2,0))&gt;3,0,VLOOKUP($A104,'2.kolo'!$O$3:$Q$66,2,0)),VLOOKUP($A104,'2.kolo'!$L$3:$N$66,2,0))</f>
        <v>0</v>
      </c>
      <c r="AR104" s="333">
        <f ca="1">IF(TYPE(VLOOKUP($A104,'2.kolo'!$L$3:$L$66,1,0))&gt;3,IF(TYPE(VLOOKUP($A104,'2.kolo'!$O$3:$Q$66,3,0))&gt;3,0,VLOOKUP($A104,'2.kolo'!$O$3:$Q$66,3,0)),VLOOKUP($A104,'2.kolo'!$L$3:$N$66,3,0))</f>
        <v>0</v>
      </c>
      <c r="AS104" s="333">
        <f t="shared" ca="1" si="54"/>
        <v>0</v>
      </c>
      <c r="AT104" s="415" t="s">
        <v>2005</v>
      </c>
      <c r="AU104" s="442" t="str">
        <f ca="1">IF(AT104="","",CONCATENATE(TEXT($O104,"0"),IF(Start.listina!$Y$5="","",TEXT(500+$P104,"000")),TEXT(999999*RAND(),"000000")))</f>
        <v/>
      </c>
      <c r="AV104" s="333">
        <f t="shared" ca="1" si="63"/>
        <v>0</v>
      </c>
      <c r="AY104" s="333" t="str">
        <f ca="1">IF(TYPE(VLOOKUP($A104,'3.kolo'!$L$3:$L$66,1,0))&gt;3,IF(TYPE(VLOOKUP($A104,'3.kolo'!$K$3:$L$66,2,0))&gt;3,0,VLOOKUP($A104,'3.kolo'!$K$3:$L$66,2,0)),VLOOKUP($A104,'3.kolo'!$L$3:$O$66,4,0))</f>
        <v/>
      </c>
      <c r="AZ104" s="333">
        <f ca="1">IF(TYPE(VLOOKUP($A104,'3.kolo'!$L$3:$L$66,1,0))&gt;3,IF(TYPE(VLOOKUP($A104,'3.kolo'!$O$3:$Q$66,2,0))&gt;3,0,VLOOKUP($A104,'3.kolo'!$O$3:$Q$66,2,0)),VLOOKUP($A104,'3.kolo'!$L$3:$N$66,2,0))</f>
        <v>0</v>
      </c>
      <c r="BA104" s="333">
        <f ca="1">IF(TYPE(VLOOKUP($A104,'3.kolo'!$L$3:$L$66,1,0))&gt;3,IF(TYPE(VLOOKUP($A104,'3.kolo'!$O$3:$Q$66,3,0))&gt;3,0,VLOOKUP($A104,'3.kolo'!$O$3:$Q$66,3,0)),VLOOKUP($A104,'3.kolo'!$L$3:$N$66,3,0))</f>
        <v>0</v>
      </c>
      <c r="BB104" s="333">
        <f t="shared" ca="1" si="55"/>
        <v>0</v>
      </c>
      <c r="BC104" s="415" t="s">
        <v>2005</v>
      </c>
      <c r="BD104" s="442" t="str">
        <f ca="1">IF(BC104="","",CONCATENATE(TEXT($O104,"0"),IF(Start.listina!$Y$5="","",TEXT(500+$P104,"000")),TEXT(999999*RAND(),"000000")))</f>
        <v/>
      </c>
      <c r="BE104" s="333">
        <f t="shared" ca="1" si="64"/>
        <v>0</v>
      </c>
      <c r="BH104" s="333" t="str">
        <f ca="1">IF(TYPE(VLOOKUP($A104,'4.kolo'!$L$3:$L$66,1,0))&gt;3,IF(TYPE(VLOOKUP($A104,'4.kolo'!$K$3:$L$66,2,0))&gt;3,0,VLOOKUP($A104,'4.kolo'!$K$3:$L$66,2,0)),VLOOKUP($A104,'4.kolo'!$L$3:$O$66,4,0))</f>
        <v/>
      </c>
      <c r="BI104" s="333">
        <f ca="1">IF(TYPE(VLOOKUP($A104,'4.kolo'!$L$3:$L$66,1,0))&gt;3,IF(TYPE(VLOOKUP($A104,'4.kolo'!$O$3:$Q$66,2,0))&gt;3,0,VLOOKUP($A104,'4.kolo'!$O$3:$Q$66,2,0)),VLOOKUP($A104,'4.kolo'!$L$3:$N$66,2,0))</f>
        <v>0</v>
      </c>
      <c r="BJ104" s="333">
        <f ca="1">IF(TYPE(VLOOKUP($A104,'4.kolo'!$L$3:$L$66,1,0))&gt;3,IF(TYPE(VLOOKUP($A104,'4.kolo'!$O$3:$Q$66,3,0))&gt;3,0,VLOOKUP($A104,'4.kolo'!$O$3:$Q$66,3,0)),VLOOKUP($A104,'4.kolo'!$L$3:$N$66,3,0))</f>
        <v>0</v>
      </c>
      <c r="BK104" s="333">
        <f t="shared" ca="1" si="56"/>
        <v>0</v>
      </c>
      <c r="BL104" s="415" t="s">
        <v>2005</v>
      </c>
      <c r="BM104" s="442" t="str">
        <f ca="1">IF(BL104="","",CONCATENATE(TEXT($O104,"0"),IF(Start.listina!$Y$5="","",TEXT(500+$P104,"000")),TEXT(999999*RAND(),"000000")))</f>
        <v/>
      </c>
      <c r="BN104" s="333">
        <f t="shared" ca="1" si="65"/>
        <v>0</v>
      </c>
      <c r="BQ104" s="333" t="str">
        <f ca="1">IF(TYPE(VLOOKUP($A104,'5.kolo'!$L$3:$L$66,1,0))&gt;3,IF(TYPE(VLOOKUP($A104,'5.kolo'!$K$3:$L$66,2,0))&gt;3,0,VLOOKUP($A104,'5.kolo'!$K$3:$L$66,2,0)),VLOOKUP($A104,'5.kolo'!$L$3:$O$66,4,0))</f>
        <v/>
      </c>
      <c r="BR104" s="333">
        <f ca="1">IF(TYPE(VLOOKUP($A104,'5.kolo'!$L$3:$L$66,1,0))&gt;3,IF(TYPE(VLOOKUP($A104,'5.kolo'!$O$3:$Q$66,2,0))&gt;3,0,VLOOKUP($A104,'5.kolo'!$O$3:$Q$66,2,0)),VLOOKUP($A104,'5.kolo'!$L$3:$N$66,2,0))</f>
        <v>0</v>
      </c>
      <c r="BS104" s="333">
        <f ca="1">IF(TYPE(VLOOKUP($A104,'5.kolo'!$L$3:$L$66,1,0))&gt;3,IF(TYPE(VLOOKUP($A104,'5.kolo'!$O$3:$Q$66,3,0))&gt;3,0,VLOOKUP($A104,'5.kolo'!$O$3:$Q$66,3,0)),VLOOKUP($A104,'5.kolo'!$L$3:$N$66,3,0))</f>
        <v>0</v>
      </c>
      <c r="BT104" s="333">
        <f t="shared" ca="1" si="57"/>
        <v>0</v>
      </c>
      <c r="BU104" s="415"/>
      <c r="BV104" s="442" t="str">
        <f ca="1">IF(BU104="","",CONCATENATE(TEXT($O104,"0"),IF(Start.listina!$Y$5="","",TEXT(500+$P104,"000")),TEXT(999999*RAND(),"000000")))</f>
        <v/>
      </c>
      <c r="BW104" s="333">
        <f t="shared" ca="1" si="66"/>
        <v>0</v>
      </c>
      <c r="BZ104" s="333" t="str">
        <f ca="1">IF(TYPE(VLOOKUP($A104,'6.kolo'!$L$3:$L$66,1,0))&gt;3,IF(TYPE(VLOOKUP($A104,'6.kolo'!$K$3:$L$66,2,0))&gt;3,0,VLOOKUP($A104,'6.kolo'!$K$3:$L$66,2,0)),VLOOKUP($A104,'6.kolo'!$L$3:$O$66,4,0))</f>
        <v/>
      </c>
      <c r="CA104" s="333">
        <f ca="1">IF(TYPE(VLOOKUP($A104,'6.kolo'!$L$3:$L$66,1,0))&gt;3,IF(TYPE(VLOOKUP($A104,'6.kolo'!$O$3:$Q$66,2,0))&gt;3,0,VLOOKUP($A104,'6.kolo'!$O$3:$Q$66,2,0)),VLOOKUP($A104,'6.kolo'!$L$3:$N$66,2,0))</f>
        <v>0</v>
      </c>
      <c r="CB104" s="333">
        <f ca="1">IF(TYPE(VLOOKUP($A104,'6.kolo'!$L$3:$L$66,1,0))&gt;3,IF(TYPE(VLOOKUP($A104,'6.kolo'!$O$3:$Q$66,3,0))&gt;3,0,VLOOKUP($A104,'6.kolo'!$O$3:$Q$66,3,0)),VLOOKUP($A104,'6.kolo'!$L$3:$N$66,3,0))</f>
        <v>0</v>
      </c>
      <c r="CC104" s="333">
        <f t="shared" ca="1" si="58"/>
        <v>0</v>
      </c>
      <c r="CD104" s="415"/>
      <c r="CE104" s="442" t="str">
        <f ca="1">IF(CD104="","",CONCATENATE(TEXT($O104,"0"),IF(Start.listina!$Y$5="","",TEXT(500+$P104,"000")),TEXT(999999*RAND(),"000000")))</f>
        <v/>
      </c>
      <c r="CF104" s="333">
        <f t="shared" ca="1" si="67"/>
        <v>0</v>
      </c>
    </row>
    <row r="105" spans="1:84" x14ac:dyDescent="0.25">
      <c r="A105" s="333" t="str">
        <f>IF(OR(Start.listina!H113&gt;Start.listina!$K$7,Start.listina!G113=TRUE),"",Start.listina!H113)</f>
        <v/>
      </c>
      <c r="B105" s="333" t="str">
        <f>IF($A105&gt;Start.listina!$K$7,"",INT(($A105-1)/Start.listina!$O$7)+1)</f>
        <v/>
      </c>
      <c r="C105" s="439" t="str">
        <f>IF(OR(Start.listina!H113&gt;Start.listina!$K$7,Start.listina!G113=TRUE)," - ",Start.listina!AL113)</f>
        <v xml:space="preserve"> - </v>
      </c>
      <c r="D105" s="333" t="str">
        <f>IF(OR(A105&gt;Start.listina!$K$7,TYPE(VLOOKUP(A105,$V$3:$X$130,3,0))&gt;3),"",VLOOKUP(A105,$V$3:$X$130,3,0))</f>
        <v/>
      </c>
      <c r="E105" s="440" t="str">
        <f>IF(A105&gt;Start.listina!$K$7,"",IF(MIN(F105:K105)&gt;Start.listina!$Y$4,D105,MIN(F105:K105)))</f>
        <v/>
      </c>
      <c r="F105" s="333">
        <f ca="1">IF(TYPE(VLOOKUP(C105,Konečné_pořadí_1_16!$B$2:$D$17,3,0))&lt;4,VLOOKUP(C105,Konečné_pořadí_1_16!$B$2:$D$17,3,0),999)</f>
        <v>999</v>
      </c>
      <c r="G105" s="333">
        <f ca="1">IF(TYPE(VLOOKUP(C105,'KO64'!$D$4:$D$129,1,0))&lt;4,64,999)</f>
        <v>64</v>
      </c>
      <c r="H105" s="333">
        <f ca="1">IF(TYPE(VLOOKUP(C105,'KO32'!$D$4:$D$65,1,0))&lt;4,32,999)</f>
        <v>32</v>
      </c>
      <c r="I105" s="333">
        <f ca="1">IF(TYPE(VLOOKUP(C105,'KO16'!$D$4:$D$33,1,0))&lt;4,16,999)</f>
        <v>999</v>
      </c>
      <c r="J105" s="333">
        <f ca="1">IF(TYPE(VLOOKUP(C105,'KO8'!$D$4:$D$17,1,0))&lt;4,8,999)</f>
        <v>999</v>
      </c>
      <c r="K105" s="333">
        <f ca="1">IF(TYPE(VLOOKUP(C105,'KO4'!$D$4:$D$9,1,0))&lt;4,4,999)</f>
        <v>999</v>
      </c>
      <c r="M105" s="334">
        <v>103</v>
      </c>
      <c r="O105" s="333">
        <f t="shared" ca="1" si="42"/>
        <v>0</v>
      </c>
      <c r="P105" s="333">
        <f t="shared" ca="1" si="43"/>
        <v>0</v>
      </c>
      <c r="Q105" s="333">
        <f t="shared" ca="1" si="60"/>
        <v>2</v>
      </c>
      <c r="R105" s="333">
        <f t="shared" ca="1" si="61"/>
        <v>0</v>
      </c>
      <c r="S105" s="333">
        <f t="shared" ca="1" si="44"/>
        <v>16</v>
      </c>
      <c r="T105" s="333">
        <f t="shared" ca="1" si="45"/>
        <v>0</v>
      </c>
      <c r="U105" s="415">
        <f t="shared" si="59"/>
        <v>103</v>
      </c>
      <c r="V105" s="415" t="s">
        <v>2005</v>
      </c>
      <c r="W105" s="441" t="str">
        <f ca="1">IF($V105="","",CONCATENATE(TEXT($O105,"0"),IF(Start.listina!$Y$5="","",TEXT(500+$P105,"0000")),IF(Start.listina!$Y$6="","",CHOOSE(Start.listina!$Y$7,TEXT($Q105,"00"),CONCATENATE(TEXT($Q105,"00"),TEXT($S105,"000")), TEXT($R105,"00"))),TEXT(500+$P105,"0000"),IF(Start.listina!$Y$8="","",TEXT($T105,"0")),TEXT(999999*RAND(),"000000")))</f>
        <v/>
      </c>
      <c r="X105" s="417">
        <f t="shared" si="46"/>
        <v>103</v>
      </c>
      <c r="Y105" s="415">
        <f t="shared" ca="1" si="62"/>
        <v>0</v>
      </c>
      <c r="Z105" s="333">
        <f t="shared" ca="1" si="47"/>
        <v>51</v>
      </c>
      <c r="AA105" s="333" t="str">
        <f t="shared" ca="1" si="48"/>
        <v/>
      </c>
      <c r="AB105" s="333" t="str">
        <f t="shared" ca="1" si="49"/>
        <v/>
      </c>
      <c r="AC105" s="333" t="str">
        <f t="shared" ca="1" si="50"/>
        <v/>
      </c>
      <c r="AD105" s="333" t="str">
        <f t="shared" ca="1" si="51"/>
        <v/>
      </c>
      <c r="AE105" s="333" t="str">
        <f t="shared" ca="1" si="52"/>
        <v/>
      </c>
      <c r="AG105" s="333">
        <f ca="1">IF(TYPE(VLOOKUP($A105,'1.kolo'!$L$3:$L$66,1,0))&gt;3,VLOOKUP($A105,'1.kolo'!$K$3:$L$66,2,0),VLOOKUP($A105,'1.kolo'!$L$3:$O$66,4,0))</f>
        <v>51</v>
      </c>
      <c r="AH105" s="333">
        <f ca="1">IF(TYPE(VLOOKUP($A105,'1.kolo'!$L$3:$L$66,1,0))&gt;3,VLOOKUP($A105,'1.kolo'!$O$3:$Q$66,2,0),VLOOKUP($A105,'1.kolo'!$L$3:$N$66,2,0))</f>
        <v>0</v>
      </c>
      <c r="AI105" s="333">
        <f ca="1">IF(TYPE(VLOOKUP($A105,'1.kolo'!$L$3:$L$66,1,0))&gt;3,VLOOKUP($A105,'1.kolo'!$O$3:$Q$66,3,0),VLOOKUP($A105,'1.kolo'!$L$3:$N$66,3,0))</f>
        <v>0</v>
      </c>
      <c r="AJ105" s="333">
        <f t="shared" ca="1" si="53"/>
        <v>0</v>
      </c>
      <c r="AK105" s="333">
        <v>103</v>
      </c>
      <c r="AL105" s="442"/>
      <c r="AP105" s="333" t="str">
        <f ca="1">IF(TYPE(VLOOKUP($A105,'2.kolo'!$L$3:$L$66,1,0))&gt;3,IF(TYPE(VLOOKUP($A105,'2.kolo'!$K$3:$L$66,2,0))&gt;3,0,VLOOKUP($A105,'2.kolo'!$K$3:$L$66,2,0)),VLOOKUP($A105,'2.kolo'!$L$3:$O$66,4,0))</f>
        <v/>
      </c>
      <c r="AQ105" s="333">
        <f ca="1">IF(TYPE(VLOOKUP($A105,'2.kolo'!$L$3:$L$66,1,0))&gt;3,IF(TYPE(VLOOKUP($A105,'2.kolo'!$O$3:$Q$66,2,0))&gt;3,0,VLOOKUP($A105,'2.kolo'!$O$3:$Q$66,2,0)),VLOOKUP($A105,'2.kolo'!$L$3:$N$66,2,0))</f>
        <v>0</v>
      </c>
      <c r="AR105" s="333">
        <f ca="1">IF(TYPE(VLOOKUP($A105,'2.kolo'!$L$3:$L$66,1,0))&gt;3,IF(TYPE(VLOOKUP($A105,'2.kolo'!$O$3:$Q$66,3,0))&gt;3,0,VLOOKUP($A105,'2.kolo'!$O$3:$Q$66,3,0)),VLOOKUP($A105,'2.kolo'!$L$3:$N$66,3,0))</f>
        <v>0</v>
      </c>
      <c r="AS105" s="333">
        <f t="shared" ca="1" si="54"/>
        <v>0</v>
      </c>
      <c r="AT105" s="415" t="s">
        <v>2005</v>
      </c>
      <c r="AU105" s="442" t="str">
        <f ca="1">IF(AT105="","",CONCATENATE(TEXT($O105,"0"),IF(Start.listina!$Y$5="","",TEXT(500+$P105,"000")),TEXT(999999*RAND(),"000000")))</f>
        <v/>
      </c>
      <c r="AV105" s="333">
        <f t="shared" ca="1" si="63"/>
        <v>0</v>
      </c>
      <c r="AY105" s="333" t="str">
        <f ca="1">IF(TYPE(VLOOKUP($A105,'3.kolo'!$L$3:$L$66,1,0))&gt;3,IF(TYPE(VLOOKUP($A105,'3.kolo'!$K$3:$L$66,2,0))&gt;3,0,VLOOKUP($A105,'3.kolo'!$K$3:$L$66,2,0)),VLOOKUP($A105,'3.kolo'!$L$3:$O$66,4,0))</f>
        <v/>
      </c>
      <c r="AZ105" s="333">
        <f ca="1">IF(TYPE(VLOOKUP($A105,'3.kolo'!$L$3:$L$66,1,0))&gt;3,IF(TYPE(VLOOKUP($A105,'3.kolo'!$O$3:$Q$66,2,0))&gt;3,0,VLOOKUP($A105,'3.kolo'!$O$3:$Q$66,2,0)),VLOOKUP($A105,'3.kolo'!$L$3:$N$66,2,0))</f>
        <v>0</v>
      </c>
      <c r="BA105" s="333">
        <f ca="1">IF(TYPE(VLOOKUP($A105,'3.kolo'!$L$3:$L$66,1,0))&gt;3,IF(TYPE(VLOOKUP($A105,'3.kolo'!$O$3:$Q$66,3,0))&gt;3,0,VLOOKUP($A105,'3.kolo'!$O$3:$Q$66,3,0)),VLOOKUP($A105,'3.kolo'!$L$3:$N$66,3,0))</f>
        <v>0</v>
      </c>
      <c r="BB105" s="333">
        <f t="shared" ca="1" si="55"/>
        <v>0</v>
      </c>
      <c r="BC105" s="415" t="s">
        <v>2005</v>
      </c>
      <c r="BD105" s="442" t="str">
        <f ca="1">IF(BC105="","",CONCATENATE(TEXT($O105,"0"),IF(Start.listina!$Y$5="","",TEXT(500+$P105,"000")),TEXT(999999*RAND(),"000000")))</f>
        <v/>
      </c>
      <c r="BE105" s="333">
        <f t="shared" ca="1" si="64"/>
        <v>0</v>
      </c>
      <c r="BH105" s="333" t="str">
        <f ca="1">IF(TYPE(VLOOKUP($A105,'4.kolo'!$L$3:$L$66,1,0))&gt;3,IF(TYPE(VLOOKUP($A105,'4.kolo'!$K$3:$L$66,2,0))&gt;3,0,VLOOKUP($A105,'4.kolo'!$K$3:$L$66,2,0)),VLOOKUP($A105,'4.kolo'!$L$3:$O$66,4,0))</f>
        <v/>
      </c>
      <c r="BI105" s="333">
        <f ca="1">IF(TYPE(VLOOKUP($A105,'4.kolo'!$L$3:$L$66,1,0))&gt;3,IF(TYPE(VLOOKUP($A105,'4.kolo'!$O$3:$Q$66,2,0))&gt;3,0,VLOOKUP($A105,'4.kolo'!$O$3:$Q$66,2,0)),VLOOKUP($A105,'4.kolo'!$L$3:$N$66,2,0))</f>
        <v>0</v>
      </c>
      <c r="BJ105" s="333">
        <f ca="1">IF(TYPE(VLOOKUP($A105,'4.kolo'!$L$3:$L$66,1,0))&gt;3,IF(TYPE(VLOOKUP($A105,'4.kolo'!$O$3:$Q$66,3,0))&gt;3,0,VLOOKUP($A105,'4.kolo'!$O$3:$Q$66,3,0)),VLOOKUP($A105,'4.kolo'!$L$3:$N$66,3,0))</f>
        <v>0</v>
      </c>
      <c r="BK105" s="333">
        <f t="shared" ca="1" si="56"/>
        <v>0</v>
      </c>
      <c r="BL105" s="415" t="s">
        <v>2005</v>
      </c>
      <c r="BM105" s="442" t="str">
        <f ca="1">IF(BL105="","",CONCATENATE(TEXT($O105,"0"),IF(Start.listina!$Y$5="","",TEXT(500+$P105,"000")),TEXT(999999*RAND(),"000000")))</f>
        <v/>
      </c>
      <c r="BN105" s="333">
        <f t="shared" ca="1" si="65"/>
        <v>0</v>
      </c>
      <c r="BQ105" s="333" t="str">
        <f ca="1">IF(TYPE(VLOOKUP($A105,'5.kolo'!$L$3:$L$66,1,0))&gt;3,IF(TYPE(VLOOKUP($A105,'5.kolo'!$K$3:$L$66,2,0))&gt;3,0,VLOOKUP($A105,'5.kolo'!$K$3:$L$66,2,0)),VLOOKUP($A105,'5.kolo'!$L$3:$O$66,4,0))</f>
        <v/>
      </c>
      <c r="BR105" s="333">
        <f ca="1">IF(TYPE(VLOOKUP($A105,'5.kolo'!$L$3:$L$66,1,0))&gt;3,IF(TYPE(VLOOKUP($A105,'5.kolo'!$O$3:$Q$66,2,0))&gt;3,0,VLOOKUP($A105,'5.kolo'!$O$3:$Q$66,2,0)),VLOOKUP($A105,'5.kolo'!$L$3:$N$66,2,0))</f>
        <v>0</v>
      </c>
      <c r="BS105" s="333">
        <f ca="1">IF(TYPE(VLOOKUP($A105,'5.kolo'!$L$3:$L$66,1,0))&gt;3,IF(TYPE(VLOOKUP($A105,'5.kolo'!$O$3:$Q$66,3,0))&gt;3,0,VLOOKUP($A105,'5.kolo'!$O$3:$Q$66,3,0)),VLOOKUP($A105,'5.kolo'!$L$3:$N$66,3,0))</f>
        <v>0</v>
      </c>
      <c r="BT105" s="333">
        <f t="shared" ca="1" si="57"/>
        <v>0</v>
      </c>
      <c r="BU105" s="415"/>
      <c r="BV105" s="442" t="str">
        <f ca="1">IF(BU105="","",CONCATENATE(TEXT($O105,"0"),IF(Start.listina!$Y$5="","",TEXT(500+$P105,"000")),TEXT(999999*RAND(),"000000")))</f>
        <v/>
      </c>
      <c r="BW105" s="333">
        <f t="shared" ca="1" si="66"/>
        <v>0</v>
      </c>
      <c r="BZ105" s="333" t="str">
        <f ca="1">IF(TYPE(VLOOKUP($A105,'6.kolo'!$L$3:$L$66,1,0))&gt;3,IF(TYPE(VLOOKUP($A105,'6.kolo'!$K$3:$L$66,2,0))&gt;3,0,VLOOKUP($A105,'6.kolo'!$K$3:$L$66,2,0)),VLOOKUP($A105,'6.kolo'!$L$3:$O$66,4,0))</f>
        <v/>
      </c>
      <c r="CA105" s="333">
        <f ca="1">IF(TYPE(VLOOKUP($A105,'6.kolo'!$L$3:$L$66,1,0))&gt;3,IF(TYPE(VLOOKUP($A105,'6.kolo'!$O$3:$Q$66,2,0))&gt;3,0,VLOOKUP($A105,'6.kolo'!$O$3:$Q$66,2,0)),VLOOKUP($A105,'6.kolo'!$L$3:$N$66,2,0))</f>
        <v>0</v>
      </c>
      <c r="CB105" s="333">
        <f ca="1">IF(TYPE(VLOOKUP($A105,'6.kolo'!$L$3:$L$66,1,0))&gt;3,IF(TYPE(VLOOKUP($A105,'6.kolo'!$O$3:$Q$66,3,0))&gt;3,0,VLOOKUP($A105,'6.kolo'!$O$3:$Q$66,3,0)),VLOOKUP($A105,'6.kolo'!$L$3:$N$66,3,0))</f>
        <v>0</v>
      </c>
      <c r="CC105" s="333">
        <f t="shared" ca="1" si="58"/>
        <v>0</v>
      </c>
      <c r="CD105" s="415"/>
      <c r="CE105" s="442" t="str">
        <f ca="1">IF(CD105="","",CONCATENATE(TEXT($O105,"0"),IF(Start.listina!$Y$5="","",TEXT(500+$P105,"000")),TEXT(999999*RAND(),"000000")))</f>
        <v/>
      </c>
      <c r="CF105" s="333">
        <f t="shared" ca="1" si="67"/>
        <v>0</v>
      </c>
    </row>
    <row r="106" spans="1:84" x14ac:dyDescent="0.25">
      <c r="A106" s="333" t="str">
        <f>IF(OR(Start.listina!H114&gt;Start.listina!$K$7,Start.listina!G114=TRUE),"",Start.listina!H114)</f>
        <v/>
      </c>
      <c r="B106" s="333" t="str">
        <f>IF($A106&gt;Start.listina!$K$7,"",INT(($A106-1)/Start.listina!$O$7)+1)</f>
        <v/>
      </c>
      <c r="C106" s="439" t="str">
        <f>IF(OR(Start.listina!H114&gt;Start.listina!$K$7,Start.listina!G114=TRUE)," - ",Start.listina!AL114)</f>
        <v xml:space="preserve"> - </v>
      </c>
      <c r="D106" s="333" t="str">
        <f>IF(OR(A106&gt;Start.listina!$K$7,TYPE(VLOOKUP(A106,$V$3:$X$130,3,0))&gt;3),"",VLOOKUP(A106,$V$3:$X$130,3,0))</f>
        <v/>
      </c>
      <c r="E106" s="440" t="str">
        <f>IF(A106&gt;Start.listina!$K$7,"",IF(MIN(F106:K106)&gt;Start.listina!$Y$4,D106,MIN(F106:K106)))</f>
        <v/>
      </c>
      <c r="F106" s="333">
        <f ca="1">IF(TYPE(VLOOKUP(C106,Konečné_pořadí_1_16!$B$2:$D$17,3,0))&lt;4,VLOOKUP(C106,Konečné_pořadí_1_16!$B$2:$D$17,3,0),999)</f>
        <v>999</v>
      </c>
      <c r="G106" s="333">
        <f ca="1">IF(TYPE(VLOOKUP(C106,'KO64'!$D$4:$D$129,1,0))&lt;4,64,999)</f>
        <v>64</v>
      </c>
      <c r="H106" s="333">
        <f ca="1">IF(TYPE(VLOOKUP(C106,'KO32'!$D$4:$D$65,1,0))&lt;4,32,999)</f>
        <v>32</v>
      </c>
      <c r="I106" s="333">
        <f ca="1">IF(TYPE(VLOOKUP(C106,'KO16'!$D$4:$D$33,1,0))&lt;4,16,999)</f>
        <v>999</v>
      </c>
      <c r="J106" s="333">
        <f ca="1">IF(TYPE(VLOOKUP(C106,'KO8'!$D$4:$D$17,1,0))&lt;4,8,999)</f>
        <v>999</v>
      </c>
      <c r="K106" s="333">
        <f ca="1">IF(TYPE(VLOOKUP(C106,'KO4'!$D$4:$D$9,1,0))&lt;4,4,999)</f>
        <v>999</v>
      </c>
      <c r="M106" s="334">
        <v>104</v>
      </c>
      <c r="O106" s="333">
        <f t="shared" ca="1" si="42"/>
        <v>0</v>
      </c>
      <c r="P106" s="333">
        <f t="shared" ca="1" si="43"/>
        <v>0</v>
      </c>
      <c r="Q106" s="333">
        <f t="shared" ca="1" si="60"/>
        <v>2</v>
      </c>
      <c r="R106" s="333">
        <f t="shared" ca="1" si="61"/>
        <v>0</v>
      </c>
      <c r="S106" s="333">
        <f t="shared" ca="1" si="44"/>
        <v>16</v>
      </c>
      <c r="T106" s="333">
        <f t="shared" ca="1" si="45"/>
        <v>0</v>
      </c>
      <c r="U106" s="415">
        <f t="shared" si="59"/>
        <v>104</v>
      </c>
      <c r="V106" s="415" t="s">
        <v>2005</v>
      </c>
      <c r="W106" s="441" t="str">
        <f ca="1">IF($V106="","",CONCATENATE(TEXT($O106,"0"),IF(Start.listina!$Y$5="","",TEXT(500+$P106,"0000")),IF(Start.listina!$Y$6="","",CHOOSE(Start.listina!$Y$7,TEXT($Q106,"00"),CONCATENATE(TEXT($Q106,"00"),TEXT($S106,"000")), TEXT($R106,"00"))),TEXT(500+$P106,"0000"),IF(Start.listina!$Y$8="","",TEXT($T106,"0")),TEXT(999999*RAND(),"000000")))</f>
        <v/>
      </c>
      <c r="X106" s="417">
        <f t="shared" si="46"/>
        <v>104</v>
      </c>
      <c r="Y106" s="415">
        <f t="shared" ca="1" si="62"/>
        <v>0</v>
      </c>
      <c r="Z106" s="333">
        <f t="shared" ca="1" si="47"/>
        <v>51</v>
      </c>
      <c r="AA106" s="333" t="str">
        <f t="shared" ca="1" si="48"/>
        <v/>
      </c>
      <c r="AB106" s="333" t="str">
        <f t="shared" ca="1" si="49"/>
        <v/>
      </c>
      <c r="AC106" s="333" t="str">
        <f t="shared" ca="1" si="50"/>
        <v/>
      </c>
      <c r="AD106" s="333" t="str">
        <f t="shared" ca="1" si="51"/>
        <v/>
      </c>
      <c r="AE106" s="333" t="str">
        <f t="shared" ca="1" si="52"/>
        <v/>
      </c>
      <c r="AG106" s="333">
        <f ca="1">IF(TYPE(VLOOKUP($A106,'1.kolo'!$L$3:$L$66,1,0))&gt;3,VLOOKUP($A106,'1.kolo'!$K$3:$L$66,2,0),VLOOKUP($A106,'1.kolo'!$L$3:$O$66,4,0))</f>
        <v>51</v>
      </c>
      <c r="AH106" s="333">
        <f ca="1">IF(TYPE(VLOOKUP($A106,'1.kolo'!$L$3:$L$66,1,0))&gt;3,VLOOKUP($A106,'1.kolo'!$O$3:$Q$66,2,0),VLOOKUP($A106,'1.kolo'!$L$3:$N$66,2,0))</f>
        <v>0</v>
      </c>
      <c r="AI106" s="333">
        <f ca="1">IF(TYPE(VLOOKUP($A106,'1.kolo'!$L$3:$L$66,1,0))&gt;3,VLOOKUP($A106,'1.kolo'!$O$3:$Q$66,3,0),VLOOKUP($A106,'1.kolo'!$L$3:$N$66,3,0))</f>
        <v>0</v>
      </c>
      <c r="AJ106" s="333">
        <f t="shared" ca="1" si="53"/>
        <v>0</v>
      </c>
      <c r="AK106" s="333">
        <v>104</v>
      </c>
      <c r="AL106" s="442"/>
      <c r="AP106" s="333" t="str">
        <f ca="1">IF(TYPE(VLOOKUP($A106,'2.kolo'!$L$3:$L$66,1,0))&gt;3,IF(TYPE(VLOOKUP($A106,'2.kolo'!$K$3:$L$66,2,0))&gt;3,0,VLOOKUP($A106,'2.kolo'!$K$3:$L$66,2,0)),VLOOKUP($A106,'2.kolo'!$L$3:$O$66,4,0))</f>
        <v/>
      </c>
      <c r="AQ106" s="333">
        <f ca="1">IF(TYPE(VLOOKUP($A106,'2.kolo'!$L$3:$L$66,1,0))&gt;3,IF(TYPE(VLOOKUP($A106,'2.kolo'!$O$3:$Q$66,2,0))&gt;3,0,VLOOKUP($A106,'2.kolo'!$O$3:$Q$66,2,0)),VLOOKUP($A106,'2.kolo'!$L$3:$N$66,2,0))</f>
        <v>0</v>
      </c>
      <c r="AR106" s="333">
        <f ca="1">IF(TYPE(VLOOKUP($A106,'2.kolo'!$L$3:$L$66,1,0))&gt;3,IF(TYPE(VLOOKUP($A106,'2.kolo'!$O$3:$Q$66,3,0))&gt;3,0,VLOOKUP($A106,'2.kolo'!$O$3:$Q$66,3,0)),VLOOKUP($A106,'2.kolo'!$L$3:$N$66,3,0))</f>
        <v>0</v>
      </c>
      <c r="AS106" s="333">
        <f t="shared" ca="1" si="54"/>
        <v>0</v>
      </c>
      <c r="AT106" s="415" t="s">
        <v>2005</v>
      </c>
      <c r="AU106" s="442" t="str">
        <f ca="1">IF(AT106="","",CONCATENATE(TEXT($O106,"0"),IF(Start.listina!$Y$5="","",TEXT(500+$P106,"000")),TEXT(999999*RAND(),"000000")))</f>
        <v/>
      </c>
      <c r="AV106" s="333">
        <f t="shared" ca="1" si="63"/>
        <v>0</v>
      </c>
      <c r="AY106" s="333" t="str">
        <f ca="1">IF(TYPE(VLOOKUP($A106,'3.kolo'!$L$3:$L$66,1,0))&gt;3,IF(TYPE(VLOOKUP($A106,'3.kolo'!$K$3:$L$66,2,0))&gt;3,0,VLOOKUP($A106,'3.kolo'!$K$3:$L$66,2,0)),VLOOKUP($A106,'3.kolo'!$L$3:$O$66,4,0))</f>
        <v/>
      </c>
      <c r="AZ106" s="333">
        <f ca="1">IF(TYPE(VLOOKUP($A106,'3.kolo'!$L$3:$L$66,1,0))&gt;3,IF(TYPE(VLOOKUP($A106,'3.kolo'!$O$3:$Q$66,2,0))&gt;3,0,VLOOKUP($A106,'3.kolo'!$O$3:$Q$66,2,0)),VLOOKUP($A106,'3.kolo'!$L$3:$N$66,2,0))</f>
        <v>0</v>
      </c>
      <c r="BA106" s="333">
        <f ca="1">IF(TYPE(VLOOKUP($A106,'3.kolo'!$L$3:$L$66,1,0))&gt;3,IF(TYPE(VLOOKUP($A106,'3.kolo'!$O$3:$Q$66,3,0))&gt;3,0,VLOOKUP($A106,'3.kolo'!$O$3:$Q$66,3,0)),VLOOKUP($A106,'3.kolo'!$L$3:$N$66,3,0))</f>
        <v>0</v>
      </c>
      <c r="BB106" s="333">
        <f t="shared" ca="1" si="55"/>
        <v>0</v>
      </c>
      <c r="BC106" s="415" t="s">
        <v>2005</v>
      </c>
      <c r="BD106" s="442" t="str">
        <f ca="1">IF(BC106="","",CONCATENATE(TEXT($O106,"0"),IF(Start.listina!$Y$5="","",TEXT(500+$P106,"000")),TEXT(999999*RAND(),"000000")))</f>
        <v/>
      </c>
      <c r="BE106" s="333">
        <f t="shared" ca="1" si="64"/>
        <v>0</v>
      </c>
      <c r="BH106" s="333" t="str">
        <f ca="1">IF(TYPE(VLOOKUP($A106,'4.kolo'!$L$3:$L$66,1,0))&gt;3,IF(TYPE(VLOOKUP($A106,'4.kolo'!$K$3:$L$66,2,0))&gt;3,0,VLOOKUP($A106,'4.kolo'!$K$3:$L$66,2,0)),VLOOKUP($A106,'4.kolo'!$L$3:$O$66,4,0))</f>
        <v/>
      </c>
      <c r="BI106" s="333">
        <f ca="1">IF(TYPE(VLOOKUP($A106,'4.kolo'!$L$3:$L$66,1,0))&gt;3,IF(TYPE(VLOOKUP($A106,'4.kolo'!$O$3:$Q$66,2,0))&gt;3,0,VLOOKUP($A106,'4.kolo'!$O$3:$Q$66,2,0)),VLOOKUP($A106,'4.kolo'!$L$3:$N$66,2,0))</f>
        <v>0</v>
      </c>
      <c r="BJ106" s="333">
        <f ca="1">IF(TYPE(VLOOKUP($A106,'4.kolo'!$L$3:$L$66,1,0))&gt;3,IF(TYPE(VLOOKUP($A106,'4.kolo'!$O$3:$Q$66,3,0))&gt;3,0,VLOOKUP($A106,'4.kolo'!$O$3:$Q$66,3,0)),VLOOKUP($A106,'4.kolo'!$L$3:$N$66,3,0))</f>
        <v>0</v>
      </c>
      <c r="BK106" s="333">
        <f t="shared" ca="1" si="56"/>
        <v>0</v>
      </c>
      <c r="BL106" s="415" t="s">
        <v>2005</v>
      </c>
      <c r="BM106" s="442" t="str">
        <f ca="1">IF(BL106="","",CONCATENATE(TEXT($O106,"0"),IF(Start.listina!$Y$5="","",TEXT(500+$P106,"000")),TEXT(999999*RAND(),"000000")))</f>
        <v/>
      </c>
      <c r="BN106" s="333">
        <f t="shared" ca="1" si="65"/>
        <v>0</v>
      </c>
      <c r="BQ106" s="333" t="str">
        <f ca="1">IF(TYPE(VLOOKUP($A106,'5.kolo'!$L$3:$L$66,1,0))&gt;3,IF(TYPE(VLOOKUP($A106,'5.kolo'!$K$3:$L$66,2,0))&gt;3,0,VLOOKUP($A106,'5.kolo'!$K$3:$L$66,2,0)),VLOOKUP($A106,'5.kolo'!$L$3:$O$66,4,0))</f>
        <v/>
      </c>
      <c r="BR106" s="333">
        <f ca="1">IF(TYPE(VLOOKUP($A106,'5.kolo'!$L$3:$L$66,1,0))&gt;3,IF(TYPE(VLOOKUP($A106,'5.kolo'!$O$3:$Q$66,2,0))&gt;3,0,VLOOKUP($A106,'5.kolo'!$O$3:$Q$66,2,0)),VLOOKUP($A106,'5.kolo'!$L$3:$N$66,2,0))</f>
        <v>0</v>
      </c>
      <c r="BS106" s="333">
        <f ca="1">IF(TYPE(VLOOKUP($A106,'5.kolo'!$L$3:$L$66,1,0))&gt;3,IF(TYPE(VLOOKUP($A106,'5.kolo'!$O$3:$Q$66,3,0))&gt;3,0,VLOOKUP($A106,'5.kolo'!$O$3:$Q$66,3,0)),VLOOKUP($A106,'5.kolo'!$L$3:$N$66,3,0))</f>
        <v>0</v>
      </c>
      <c r="BT106" s="333">
        <f t="shared" ca="1" si="57"/>
        <v>0</v>
      </c>
      <c r="BU106" s="415"/>
      <c r="BV106" s="442" t="str">
        <f ca="1">IF(BU106="","",CONCATENATE(TEXT($O106,"0"),IF(Start.listina!$Y$5="","",TEXT(500+$P106,"000")),TEXT(999999*RAND(),"000000")))</f>
        <v/>
      </c>
      <c r="BW106" s="333">
        <f t="shared" ca="1" si="66"/>
        <v>0</v>
      </c>
      <c r="BZ106" s="333" t="str">
        <f ca="1">IF(TYPE(VLOOKUP($A106,'6.kolo'!$L$3:$L$66,1,0))&gt;3,IF(TYPE(VLOOKUP($A106,'6.kolo'!$K$3:$L$66,2,0))&gt;3,0,VLOOKUP($A106,'6.kolo'!$K$3:$L$66,2,0)),VLOOKUP($A106,'6.kolo'!$L$3:$O$66,4,0))</f>
        <v/>
      </c>
      <c r="CA106" s="333">
        <f ca="1">IF(TYPE(VLOOKUP($A106,'6.kolo'!$L$3:$L$66,1,0))&gt;3,IF(TYPE(VLOOKUP($A106,'6.kolo'!$O$3:$Q$66,2,0))&gt;3,0,VLOOKUP($A106,'6.kolo'!$O$3:$Q$66,2,0)),VLOOKUP($A106,'6.kolo'!$L$3:$N$66,2,0))</f>
        <v>0</v>
      </c>
      <c r="CB106" s="333">
        <f ca="1">IF(TYPE(VLOOKUP($A106,'6.kolo'!$L$3:$L$66,1,0))&gt;3,IF(TYPE(VLOOKUP($A106,'6.kolo'!$O$3:$Q$66,3,0))&gt;3,0,VLOOKUP($A106,'6.kolo'!$O$3:$Q$66,3,0)),VLOOKUP($A106,'6.kolo'!$L$3:$N$66,3,0))</f>
        <v>0</v>
      </c>
      <c r="CC106" s="333">
        <f t="shared" ca="1" si="58"/>
        <v>0</v>
      </c>
      <c r="CD106" s="415"/>
      <c r="CE106" s="442" t="str">
        <f ca="1">IF(CD106="","",CONCATENATE(TEXT($O106,"0"),IF(Start.listina!$Y$5="","",TEXT(500+$P106,"000")),TEXT(999999*RAND(),"000000")))</f>
        <v/>
      </c>
      <c r="CF106" s="333">
        <f t="shared" ca="1" si="67"/>
        <v>0</v>
      </c>
    </row>
    <row r="107" spans="1:84" x14ac:dyDescent="0.25">
      <c r="A107" s="333" t="str">
        <f>IF(OR(Start.listina!H115&gt;Start.listina!$K$7,Start.listina!G115=TRUE),"",Start.listina!H115)</f>
        <v/>
      </c>
      <c r="B107" s="333" t="str">
        <f>IF($A107&gt;Start.listina!$K$7,"",INT(($A107-1)/Start.listina!$O$7)+1)</f>
        <v/>
      </c>
      <c r="C107" s="439" t="str">
        <f>IF(OR(Start.listina!H115&gt;Start.listina!$K$7,Start.listina!G115=TRUE)," - ",Start.listina!AL115)</f>
        <v xml:space="preserve"> - </v>
      </c>
      <c r="D107" s="333" t="str">
        <f>IF(OR(A107&gt;Start.listina!$K$7,TYPE(VLOOKUP(A107,$V$3:$X$130,3,0))&gt;3),"",VLOOKUP(A107,$V$3:$X$130,3,0))</f>
        <v/>
      </c>
      <c r="E107" s="440" t="str">
        <f>IF(A107&gt;Start.listina!$K$7,"",IF(MIN(F107:K107)&gt;Start.listina!$Y$4,D107,MIN(F107:K107)))</f>
        <v/>
      </c>
      <c r="F107" s="333">
        <f ca="1">IF(TYPE(VLOOKUP(C107,Konečné_pořadí_1_16!$B$2:$D$17,3,0))&lt;4,VLOOKUP(C107,Konečné_pořadí_1_16!$B$2:$D$17,3,0),999)</f>
        <v>999</v>
      </c>
      <c r="G107" s="333">
        <f ca="1">IF(TYPE(VLOOKUP(C107,'KO64'!$D$4:$D$129,1,0))&lt;4,64,999)</f>
        <v>64</v>
      </c>
      <c r="H107" s="333">
        <f ca="1">IF(TYPE(VLOOKUP(C107,'KO32'!$D$4:$D$65,1,0))&lt;4,32,999)</f>
        <v>32</v>
      </c>
      <c r="I107" s="333">
        <f ca="1">IF(TYPE(VLOOKUP(C107,'KO16'!$D$4:$D$33,1,0))&lt;4,16,999)</f>
        <v>999</v>
      </c>
      <c r="J107" s="333">
        <f ca="1">IF(TYPE(VLOOKUP(C107,'KO8'!$D$4:$D$17,1,0))&lt;4,8,999)</f>
        <v>999</v>
      </c>
      <c r="K107" s="333">
        <f ca="1">IF(TYPE(VLOOKUP(C107,'KO4'!$D$4:$D$9,1,0))&lt;4,4,999)</f>
        <v>999</v>
      </c>
      <c r="M107" s="334">
        <v>105</v>
      </c>
      <c r="O107" s="333">
        <f t="shared" ca="1" si="42"/>
        <v>0</v>
      </c>
      <c r="P107" s="333">
        <f t="shared" ca="1" si="43"/>
        <v>0</v>
      </c>
      <c r="Q107" s="333">
        <f t="shared" ca="1" si="60"/>
        <v>2</v>
      </c>
      <c r="R107" s="333">
        <f t="shared" ca="1" si="61"/>
        <v>0</v>
      </c>
      <c r="S107" s="333">
        <f t="shared" ca="1" si="44"/>
        <v>16</v>
      </c>
      <c r="T107" s="333">
        <f t="shared" ca="1" si="45"/>
        <v>0</v>
      </c>
      <c r="U107" s="415">
        <f t="shared" si="59"/>
        <v>105</v>
      </c>
      <c r="V107" s="415" t="s">
        <v>2005</v>
      </c>
      <c r="W107" s="441" t="str">
        <f ca="1">IF($V107="","",CONCATENATE(TEXT($O107,"0"),IF(Start.listina!$Y$5="","",TEXT(500+$P107,"0000")),IF(Start.listina!$Y$6="","",CHOOSE(Start.listina!$Y$7,TEXT($Q107,"00"),CONCATENATE(TEXT($Q107,"00"),TEXT($S107,"000")), TEXT($R107,"00"))),TEXT(500+$P107,"0000"),IF(Start.listina!$Y$8="","",TEXT($T107,"0")),TEXT(999999*RAND(),"000000")))</f>
        <v/>
      </c>
      <c r="X107" s="417">
        <f t="shared" si="46"/>
        <v>105</v>
      </c>
      <c r="Y107" s="415">
        <f t="shared" ca="1" si="62"/>
        <v>0</v>
      </c>
      <c r="Z107" s="333">
        <f t="shared" ca="1" si="47"/>
        <v>51</v>
      </c>
      <c r="AA107" s="333" t="str">
        <f t="shared" ca="1" si="48"/>
        <v/>
      </c>
      <c r="AB107" s="333" t="str">
        <f t="shared" ca="1" si="49"/>
        <v/>
      </c>
      <c r="AC107" s="333" t="str">
        <f t="shared" ca="1" si="50"/>
        <v/>
      </c>
      <c r="AD107" s="333" t="str">
        <f t="shared" ca="1" si="51"/>
        <v/>
      </c>
      <c r="AE107" s="333" t="str">
        <f t="shared" ca="1" si="52"/>
        <v/>
      </c>
      <c r="AG107" s="333">
        <f ca="1">IF(TYPE(VLOOKUP($A107,'1.kolo'!$L$3:$L$66,1,0))&gt;3,VLOOKUP($A107,'1.kolo'!$K$3:$L$66,2,0),VLOOKUP($A107,'1.kolo'!$L$3:$O$66,4,0))</f>
        <v>51</v>
      </c>
      <c r="AH107" s="333">
        <f ca="1">IF(TYPE(VLOOKUP($A107,'1.kolo'!$L$3:$L$66,1,0))&gt;3,VLOOKUP($A107,'1.kolo'!$O$3:$Q$66,2,0),VLOOKUP($A107,'1.kolo'!$L$3:$N$66,2,0))</f>
        <v>0</v>
      </c>
      <c r="AI107" s="333">
        <f ca="1">IF(TYPE(VLOOKUP($A107,'1.kolo'!$L$3:$L$66,1,0))&gt;3,VLOOKUP($A107,'1.kolo'!$O$3:$Q$66,3,0),VLOOKUP($A107,'1.kolo'!$L$3:$N$66,3,0))</f>
        <v>0</v>
      </c>
      <c r="AJ107" s="333">
        <f t="shared" ca="1" si="53"/>
        <v>0</v>
      </c>
      <c r="AK107" s="333">
        <v>105</v>
      </c>
      <c r="AL107" s="442"/>
      <c r="AP107" s="333" t="str">
        <f ca="1">IF(TYPE(VLOOKUP($A107,'2.kolo'!$L$3:$L$66,1,0))&gt;3,IF(TYPE(VLOOKUP($A107,'2.kolo'!$K$3:$L$66,2,0))&gt;3,0,VLOOKUP($A107,'2.kolo'!$K$3:$L$66,2,0)),VLOOKUP($A107,'2.kolo'!$L$3:$O$66,4,0))</f>
        <v/>
      </c>
      <c r="AQ107" s="333">
        <f ca="1">IF(TYPE(VLOOKUP($A107,'2.kolo'!$L$3:$L$66,1,0))&gt;3,IF(TYPE(VLOOKUP($A107,'2.kolo'!$O$3:$Q$66,2,0))&gt;3,0,VLOOKUP($A107,'2.kolo'!$O$3:$Q$66,2,0)),VLOOKUP($A107,'2.kolo'!$L$3:$N$66,2,0))</f>
        <v>0</v>
      </c>
      <c r="AR107" s="333">
        <f ca="1">IF(TYPE(VLOOKUP($A107,'2.kolo'!$L$3:$L$66,1,0))&gt;3,IF(TYPE(VLOOKUP($A107,'2.kolo'!$O$3:$Q$66,3,0))&gt;3,0,VLOOKUP($A107,'2.kolo'!$O$3:$Q$66,3,0)),VLOOKUP($A107,'2.kolo'!$L$3:$N$66,3,0))</f>
        <v>0</v>
      </c>
      <c r="AS107" s="333">
        <f t="shared" ca="1" si="54"/>
        <v>0</v>
      </c>
      <c r="AT107" s="415" t="s">
        <v>2005</v>
      </c>
      <c r="AU107" s="442" t="str">
        <f ca="1">IF(AT107="","",CONCATENATE(TEXT($O107,"0"),IF(Start.listina!$Y$5="","",TEXT(500+$P107,"000")),TEXT(999999*RAND(),"000000")))</f>
        <v/>
      </c>
      <c r="AV107" s="333">
        <f t="shared" ca="1" si="63"/>
        <v>0</v>
      </c>
      <c r="AY107" s="333" t="str">
        <f ca="1">IF(TYPE(VLOOKUP($A107,'3.kolo'!$L$3:$L$66,1,0))&gt;3,IF(TYPE(VLOOKUP($A107,'3.kolo'!$K$3:$L$66,2,0))&gt;3,0,VLOOKUP($A107,'3.kolo'!$K$3:$L$66,2,0)),VLOOKUP($A107,'3.kolo'!$L$3:$O$66,4,0))</f>
        <v/>
      </c>
      <c r="AZ107" s="333">
        <f ca="1">IF(TYPE(VLOOKUP($A107,'3.kolo'!$L$3:$L$66,1,0))&gt;3,IF(TYPE(VLOOKUP($A107,'3.kolo'!$O$3:$Q$66,2,0))&gt;3,0,VLOOKUP($A107,'3.kolo'!$O$3:$Q$66,2,0)),VLOOKUP($A107,'3.kolo'!$L$3:$N$66,2,0))</f>
        <v>0</v>
      </c>
      <c r="BA107" s="333">
        <f ca="1">IF(TYPE(VLOOKUP($A107,'3.kolo'!$L$3:$L$66,1,0))&gt;3,IF(TYPE(VLOOKUP($A107,'3.kolo'!$O$3:$Q$66,3,0))&gt;3,0,VLOOKUP($A107,'3.kolo'!$O$3:$Q$66,3,0)),VLOOKUP($A107,'3.kolo'!$L$3:$N$66,3,0))</f>
        <v>0</v>
      </c>
      <c r="BB107" s="333">
        <f t="shared" ca="1" si="55"/>
        <v>0</v>
      </c>
      <c r="BC107" s="415" t="s">
        <v>2005</v>
      </c>
      <c r="BD107" s="442" t="str">
        <f ca="1">IF(BC107="","",CONCATENATE(TEXT($O107,"0"),IF(Start.listina!$Y$5="","",TEXT(500+$P107,"000")),TEXT(999999*RAND(),"000000")))</f>
        <v/>
      </c>
      <c r="BE107" s="333">
        <f t="shared" ca="1" si="64"/>
        <v>0</v>
      </c>
      <c r="BH107" s="333" t="str">
        <f ca="1">IF(TYPE(VLOOKUP($A107,'4.kolo'!$L$3:$L$66,1,0))&gt;3,IF(TYPE(VLOOKUP($A107,'4.kolo'!$K$3:$L$66,2,0))&gt;3,0,VLOOKUP($A107,'4.kolo'!$K$3:$L$66,2,0)),VLOOKUP($A107,'4.kolo'!$L$3:$O$66,4,0))</f>
        <v/>
      </c>
      <c r="BI107" s="333">
        <f ca="1">IF(TYPE(VLOOKUP($A107,'4.kolo'!$L$3:$L$66,1,0))&gt;3,IF(TYPE(VLOOKUP($A107,'4.kolo'!$O$3:$Q$66,2,0))&gt;3,0,VLOOKUP($A107,'4.kolo'!$O$3:$Q$66,2,0)),VLOOKUP($A107,'4.kolo'!$L$3:$N$66,2,0))</f>
        <v>0</v>
      </c>
      <c r="BJ107" s="333">
        <f ca="1">IF(TYPE(VLOOKUP($A107,'4.kolo'!$L$3:$L$66,1,0))&gt;3,IF(TYPE(VLOOKUP($A107,'4.kolo'!$O$3:$Q$66,3,0))&gt;3,0,VLOOKUP($A107,'4.kolo'!$O$3:$Q$66,3,0)),VLOOKUP($A107,'4.kolo'!$L$3:$N$66,3,0))</f>
        <v>0</v>
      </c>
      <c r="BK107" s="333">
        <f t="shared" ca="1" si="56"/>
        <v>0</v>
      </c>
      <c r="BL107" s="415" t="s">
        <v>2005</v>
      </c>
      <c r="BM107" s="442" t="str">
        <f ca="1">IF(BL107="","",CONCATENATE(TEXT($O107,"0"),IF(Start.listina!$Y$5="","",TEXT(500+$P107,"000")),TEXT(999999*RAND(),"000000")))</f>
        <v/>
      </c>
      <c r="BN107" s="333">
        <f t="shared" ca="1" si="65"/>
        <v>0</v>
      </c>
      <c r="BQ107" s="333" t="str">
        <f ca="1">IF(TYPE(VLOOKUP($A107,'5.kolo'!$L$3:$L$66,1,0))&gt;3,IF(TYPE(VLOOKUP($A107,'5.kolo'!$K$3:$L$66,2,0))&gt;3,0,VLOOKUP($A107,'5.kolo'!$K$3:$L$66,2,0)),VLOOKUP($A107,'5.kolo'!$L$3:$O$66,4,0))</f>
        <v/>
      </c>
      <c r="BR107" s="333">
        <f ca="1">IF(TYPE(VLOOKUP($A107,'5.kolo'!$L$3:$L$66,1,0))&gt;3,IF(TYPE(VLOOKUP($A107,'5.kolo'!$O$3:$Q$66,2,0))&gt;3,0,VLOOKUP($A107,'5.kolo'!$O$3:$Q$66,2,0)),VLOOKUP($A107,'5.kolo'!$L$3:$N$66,2,0))</f>
        <v>0</v>
      </c>
      <c r="BS107" s="333">
        <f ca="1">IF(TYPE(VLOOKUP($A107,'5.kolo'!$L$3:$L$66,1,0))&gt;3,IF(TYPE(VLOOKUP($A107,'5.kolo'!$O$3:$Q$66,3,0))&gt;3,0,VLOOKUP($A107,'5.kolo'!$O$3:$Q$66,3,0)),VLOOKUP($A107,'5.kolo'!$L$3:$N$66,3,0))</f>
        <v>0</v>
      </c>
      <c r="BT107" s="333">
        <f t="shared" ca="1" si="57"/>
        <v>0</v>
      </c>
      <c r="BU107" s="415"/>
      <c r="BV107" s="442" t="str">
        <f ca="1">IF(BU107="","",CONCATENATE(TEXT($O107,"0"),IF(Start.listina!$Y$5="","",TEXT(500+$P107,"000")),TEXT(999999*RAND(),"000000")))</f>
        <v/>
      </c>
      <c r="BW107" s="333">
        <f t="shared" ca="1" si="66"/>
        <v>0</v>
      </c>
      <c r="BZ107" s="333" t="str">
        <f ca="1">IF(TYPE(VLOOKUP($A107,'6.kolo'!$L$3:$L$66,1,0))&gt;3,IF(TYPE(VLOOKUP($A107,'6.kolo'!$K$3:$L$66,2,0))&gt;3,0,VLOOKUP($A107,'6.kolo'!$K$3:$L$66,2,0)),VLOOKUP($A107,'6.kolo'!$L$3:$O$66,4,0))</f>
        <v/>
      </c>
      <c r="CA107" s="333">
        <f ca="1">IF(TYPE(VLOOKUP($A107,'6.kolo'!$L$3:$L$66,1,0))&gt;3,IF(TYPE(VLOOKUP($A107,'6.kolo'!$O$3:$Q$66,2,0))&gt;3,0,VLOOKUP($A107,'6.kolo'!$O$3:$Q$66,2,0)),VLOOKUP($A107,'6.kolo'!$L$3:$N$66,2,0))</f>
        <v>0</v>
      </c>
      <c r="CB107" s="333">
        <f ca="1">IF(TYPE(VLOOKUP($A107,'6.kolo'!$L$3:$L$66,1,0))&gt;3,IF(TYPE(VLOOKUP($A107,'6.kolo'!$O$3:$Q$66,3,0))&gt;3,0,VLOOKUP($A107,'6.kolo'!$O$3:$Q$66,3,0)),VLOOKUP($A107,'6.kolo'!$L$3:$N$66,3,0))</f>
        <v>0</v>
      </c>
      <c r="CC107" s="333">
        <f t="shared" ca="1" si="58"/>
        <v>0</v>
      </c>
      <c r="CD107" s="415"/>
      <c r="CE107" s="442" t="str">
        <f ca="1">IF(CD107="","",CONCATENATE(TEXT($O107,"0"),IF(Start.listina!$Y$5="","",TEXT(500+$P107,"000")),TEXT(999999*RAND(),"000000")))</f>
        <v/>
      </c>
      <c r="CF107" s="333">
        <f t="shared" ca="1" si="67"/>
        <v>0</v>
      </c>
    </row>
    <row r="108" spans="1:84" x14ac:dyDescent="0.25">
      <c r="A108" s="333" t="str">
        <f>IF(OR(Start.listina!H116&gt;Start.listina!$K$7,Start.listina!G116=TRUE),"",Start.listina!H116)</f>
        <v/>
      </c>
      <c r="B108" s="333" t="str">
        <f>IF($A108&gt;Start.listina!$K$7,"",INT(($A108-1)/Start.listina!$O$7)+1)</f>
        <v/>
      </c>
      <c r="C108" s="439" t="str">
        <f>IF(OR(Start.listina!H116&gt;Start.listina!$K$7,Start.listina!G116=TRUE)," - ",Start.listina!AL116)</f>
        <v xml:space="preserve"> - </v>
      </c>
      <c r="D108" s="333" t="str">
        <f>IF(OR(A108&gt;Start.listina!$K$7,TYPE(VLOOKUP(A108,$V$3:$X$130,3,0))&gt;3),"",VLOOKUP(A108,$V$3:$X$130,3,0))</f>
        <v/>
      </c>
      <c r="E108" s="440" t="str">
        <f>IF(A108&gt;Start.listina!$K$7,"",IF(MIN(F108:K108)&gt;Start.listina!$Y$4,D108,MIN(F108:K108)))</f>
        <v/>
      </c>
      <c r="F108" s="333">
        <f ca="1">IF(TYPE(VLOOKUP(C108,Konečné_pořadí_1_16!$B$2:$D$17,3,0))&lt;4,VLOOKUP(C108,Konečné_pořadí_1_16!$B$2:$D$17,3,0),999)</f>
        <v>999</v>
      </c>
      <c r="G108" s="333">
        <f ca="1">IF(TYPE(VLOOKUP(C108,'KO64'!$D$4:$D$129,1,0))&lt;4,64,999)</f>
        <v>64</v>
      </c>
      <c r="H108" s="333">
        <f ca="1">IF(TYPE(VLOOKUP(C108,'KO32'!$D$4:$D$65,1,0))&lt;4,32,999)</f>
        <v>32</v>
      </c>
      <c r="I108" s="333">
        <f ca="1">IF(TYPE(VLOOKUP(C108,'KO16'!$D$4:$D$33,1,0))&lt;4,16,999)</f>
        <v>999</v>
      </c>
      <c r="J108" s="333">
        <f ca="1">IF(TYPE(VLOOKUP(C108,'KO8'!$D$4:$D$17,1,0))&lt;4,8,999)</f>
        <v>999</v>
      </c>
      <c r="K108" s="333">
        <f ca="1">IF(TYPE(VLOOKUP(C108,'KO4'!$D$4:$D$9,1,0))&lt;4,4,999)</f>
        <v>999</v>
      </c>
      <c r="M108" s="334">
        <v>106</v>
      </c>
      <c r="O108" s="333">
        <f t="shared" ca="1" si="42"/>
        <v>0</v>
      </c>
      <c r="P108" s="333">
        <f t="shared" ca="1" si="43"/>
        <v>0</v>
      </c>
      <c r="Q108" s="333">
        <f t="shared" ca="1" si="60"/>
        <v>2</v>
      </c>
      <c r="R108" s="333">
        <f t="shared" ca="1" si="61"/>
        <v>0</v>
      </c>
      <c r="S108" s="333">
        <f t="shared" ca="1" si="44"/>
        <v>16</v>
      </c>
      <c r="T108" s="333">
        <f t="shared" ca="1" si="45"/>
        <v>0</v>
      </c>
      <c r="U108" s="415">
        <f t="shared" si="59"/>
        <v>106</v>
      </c>
      <c r="V108" s="415" t="s">
        <v>2005</v>
      </c>
      <c r="W108" s="441" t="str">
        <f ca="1">IF($V108="","",CONCATENATE(TEXT($O108,"0"),IF(Start.listina!$Y$5="","",TEXT(500+$P108,"0000")),IF(Start.listina!$Y$6="","",CHOOSE(Start.listina!$Y$7,TEXT($Q108,"00"),CONCATENATE(TEXT($Q108,"00"),TEXT($S108,"000")), TEXT($R108,"00"))),TEXT(500+$P108,"0000"),IF(Start.listina!$Y$8="","",TEXT($T108,"0")),TEXT(999999*RAND(),"000000")))</f>
        <v/>
      </c>
      <c r="X108" s="417">
        <f t="shared" si="46"/>
        <v>106</v>
      </c>
      <c r="Y108" s="415">
        <f t="shared" ca="1" si="62"/>
        <v>0</v>
      </c>
      <c r="Z108" s="333">
        <f t="shared" ca="1" si="47"/>
        <v>51</v>
      </c>
      <c r="AA108" s="333" t="str">
        <f t="shared" ca="1" si="48"/>
        <v/>
      </c>
      <c r="AB108" s="333" t="str">
        <f t="shared" ca="1" si="49"/>
        <v/>
      </c>
      <c r="AC108" s="333" t="str">
        <f t="shared" ca="1" si="50"/>
        <v/>
      </c>
      <c r="AD108" s="333" t="str">
        <f t="shared" ca="1" si="51"/>
        <v/>
      </c>
      <c r="AE108" s="333" t="str">
        <f t="shared" ca="1" si="52"/>
        <v/>
      </c>
      <c r="AG108" s="333">
        <f ca="1">IF(TYPE(VLOOKUP($A108,'1.kolo'!$L$3:$L$66,1,0))&gt;3,VLOOKUP($A108,'1.kolo'!$K$3:$L$66,2,0),VLOOKUP($A108,'1.kolo'!$L$3:$O$66,4,0))</f>
        <v>51</v>
      </c>
      <c r="AH108" s="333">
        <f ca="1">IF(TYPE(VLOOKUP($A108,'1.kolo'!$L$3:$L$66,1,0))&gt;3,VLOOKUP($A108,'1.kolo'!$O$3:$Q$66,2,0),VLOOKUP($A108,'1.kolo'!$L$3:$N$66,2,0))</f>
        <v>0</v>
      </c>
      <c r="AI108" s="333">
        <f ca="1">IF(TYPE(VLOOKUP($A108,'1.kolo'!$L$3:$L$66,1,0))&gt;3,VLOOKUP($A108,'1.kolo'!$O$3:$Q$66,3,0),VLOOKUP($A108,'1.kolo'!$L$3:$N$66,3,0))</f>
        <v>0</v>
      </c>
      <c r="AJ108" s="333">
        <f t="shared" ca="1" si="53"/>
        <v>0</v>
      </c>
      <c r="AK108" s="333">
        <v>106</v>
      </c>
      <c r="AL108" s="442"/>
      <c r="AP108" s="333" t="str">
        <f ca="1">IF(TYPE(VLOOKUP($A108,'2.kolo'!$L$3:$L$66,1,0))&gt;3,IF(TYPE(VLOOKUP($A108,'2.kolo'!$K$3:$L$66,2,0))&gt;3,0,VLOOKUP($A108,'2.kolo'!$K$3:$L$66,2,0)),VLOOKUP($A108,'2.kolo'!$L$3:$O$66,4,0))</f>
        <v/>
      </c>
      <c r="AQ108" s="333">
        <f ca="1">IF(TYPE(VLOOKUP($A108,'2.kolo'!$L$3:$L$66,1,0))&gt;3,IF(TYPE(VLOOKUP($A108,'2.kolo'!$O$3:$Q$66,2,0))&gt;3,0,VLOOKUP($A108,'2.kolo'!$O$3:$Q$66,2,0)),VLOOKUP($A108,'2.kolo'!$L$3:$N$66,2,0))</f>
        <v>0</v>
      </c>
      <c r="AR108" s="333">
        <f ca="1">IF(TYPE(VLOOKUP($A108,'2.kolo'!$L$3:$L$66,1,0))&gt;3,IF(TYPE(VLOOKUP($A108,'2.kolo'!$O$3:$Q$66,3,0))&gt;3,0,VLOOKUP($A108,'2.kolo'!$O$3:$Q$66,3,0)),VLOOKUP($A108,'2.kolo'!$L$3:$N$66,3,0))</f>
        <v>0</v>
      </c>
      <c r="AS108" s="333">
        <f t="shared" ca="1" si="54"/>
        <v>0</v>
      </c>
      <c r="AT108" s="415" t="s">
        <v>2005</v>
      </c>
      <c r="AU108" s="442" t="str">
        <f ca="1">IF(AT108="","",CONCATENATE(TEXT($O108,"0"),IF(Start.listina!$Y$5="","",TEXT(500+$P108,"000")),TEXT(999999*RAND(),"000000")))</f>
        <v/>
      </c>
      <c r="AV108" s="333">
        <f t="shared" ca="1" si="63"/>
        <v>0</v>
      </c>
      <c r="AY108" s="333" t="str">
        <f ca="1">IF(TYPE(VLOOKUP($A108,'3.kolo'!$L$3:$L$66,1,0))&gt;3,IF(TYPE(VLOOKUP($A108,'3.kolo'!$K$3:$L$66,2,0))&gt;3,0,VLOOKUP($A108,'3.kolo'!$K$3:$L$66,2,0)),VLOOKUP($A108,'3.kolo'!$L$3:$O$66,4,0))</f>
        <v/>
      </c>
      <c r="AZ108" s="333">
        <f ca="1">IF(TYPE(VLOOKUP($A108,'3.kolo'!$L$3:$L$66,1,0))&gt;3,IF(TYPE(VLOOKUP($A108,'3.kolo'!$O$3:$Q$66,2,0))&gt;3,0,VLOOKUP($A108,'3.kolo'!$O$3:$Q$66,2,0)),VLOOKUP($A108,'3.kolo'!$L$3:$N$66,2,0))</f>
        <v>0</v>
      </c>
      <c r="BA108" s="333">
        <f ca="1">IF(TYPE(VLOOKUP($A108,'3.kolo'!$L$3:$L$66,1,0))&gt;3,IF(TYPE(VLOOKUP($A108,'3.kolo'!$O$3:$Q$66,3,0))&gt;3,0,VLOOKUP($A108,'3.kolo'!$O$3:$Q$66,3,0)),VLOOKUP($A108,'3.kolo'!$L$3:$N$66,3,0))</f>
        <v>0</v>
      </c>
      <c r="BB108" s="333">
        <f t="shared" ca="1" si="55"/>
        <v>0</v>
      </c>
      <c r="BC108" s="415" t="s">
        <v>2005</v>
      </c>
      <c r="BD108" s="442" t="str">
        <f ca="1">IF(BC108="","",CONCATENATE(TEXT($O108,"0"),IF(Start.listina!$Y$5="","",TEXT(500+$P108,"000")),TEXT(999999*RAND(),"000000")))</f>
        <v/>
      </c>
      <c r="BE108" s="333">
        <f t="shared" ca="1" si="64"/>
        <v>0</v>
      </c>
      <c r="BH108" s="333" t="str">
        <f ca="1">IF(TYPE(VLOOKUP($A108,'4.kolo'!$L$3:$L$66,1,0))&gt;3,IF(TYPE(VLOOKUP($A108,'4.kolo'!$K$3:$L$66,2,0))&gt;3,0,VLOOKUP($A108,'4.kolo'!$K$3:$L$66,2,0)),VLOOKUP($A108,'4.kolo'!$L$3:$O$66,4,0))</f>
        <v/>
      </c>
      <c r="BI108" s="333">
        <f ca="1">IF(TYPE(VLOOKUP($A108,'4.kolo'!$L$3:$L$66,1,0))&gt;3,IF(TYPE(VLOOKUP($A108,'4.kolo'!$O$3:$Q$66,2,0))&gt;3,0,VLOOKUP($A108,'4.kolo'!$O$3:$Q$66,2,0)),VLOOKUP($A108,'4.kolo'!$L$3:$N$66,2,0))</f>
        <v>0</v>
      </c>
      <c r="BJ108" s="333">
        <f ca="1">IF(TYPE(VLOOKUP($A108,'4.kolo'!$L$3:$L$66,1,0))&gt;3,IF(TYPE(VLOOKUP($A108,'4.kolo'!$O$3:$Q$66,3,0))&gt;3,0,VLOOKUP($A108,'4.kolo'!$O$3:$Q$66,3,0)),VLOOKUP($A108,'4.kolo'!$L$3:$N$66,3,0))</f>
        <v>0</v>
      </c>
      <c r="BK108" s="333">
        <f t="shared" ca="1" si="56"/>
        <v>0</v>
      </c>
      <c r="BL108" s="415" t="s">
        <v>2005</v>
      </c>
      <c r="BM108" s="442" t="str">
        <f ca="1">IF(BL108="","",CONCATENATE(TEXT($O108,"0"),IF(Start.listina!$Y$5="","",TEXT(500+$P108,"000")),TEXT(999999*RAND(),"000000")))</f>
        <v/>
      </c>
      <c r="BN108" s="333">
        <f t="shared" ca="1" si="65"/>
        <v>0</v>
      </c>
      <c r="BQ108" s="333" t="str">
        <f ca="1">IF(TYPE(VLOOKUP($A108,'5.kolo'!$L$3:$L$66,1,0))&gt;3,IF(TYPE(VLOOKUP($A108,'5.kolo'!$K$3:$L$66,2,0))&gt;3,0,VLOOKUP($A108,'5.kolo'!$K$3:$L$66,2,0)),VLOOKUP($A108,'5.kolo'!$L$3:$O$66,4,0))</f>
        <v/>
      </c>
      <c r="BR108" s="333">
        <f ca="1">IF(TYPE(VLOOKUP($A108,'5.kolo'!$L$3:$L$66,1,0))&gt;3,IF(TYPE(VLOOKUP($A108,'5.kolo'!$O$3:$Q$66,2,0))&gt;3,0,VLOOKUP($A108,'5.kolo'!$O$3:$Q$66,2,0)),VLOOKUP($A108,'5.kolo'!$L$3:$N$66,2,0))</f>
        <v>0</v>
      </c>
      <c r="BS108" s="333">
        <f ca="1">IF(TYPE(VLOOKUP($A108,'5.kolo'!$L$3:$L$66,1,0))&gt;3,IF(TYPE(VLOOKUP($A108,'5.kolo'!$O$3:$Q$66,3,0))&gt;3,0,VLOOKUP($A108,'5.kolo'!$O$3:$Q$66,3,0)),VLOOKUP($A108,'5.kolo'!$L$3:$N$66,3,0))</f>
        <v>0</v>
      </c>
      <c r="BT108" s="333">
        <f t="shared" ca="1" si="57"/>
        <v>0</v>
      </c>
      <c r="BU108" s="415"/>
      <c r="BV108" s="442" t="str">
        <f ca="1">IF(BU108="","",CONCATENATE(TEXT($O108,"0"),IF(Start.listina!$Y$5="","",TEXT(500+$P108,"000")),TEXT(999999*RAND(),"000000")))</f>
        <v/>
      </c>
      <c r="BW108" s="333">
        <f t="shared" ca="1" si="66"/>
        <v>0</v>
      </c>
      <c r="BZ108" s="333" t="str">
        <f ca="1">IF(TYPE(VLOOKUP($A108,'6.kolo'!$L$3:$L$66,1,0))&gt;3,IF(TYPE(VLOOKUP($A108,'6.kolo'!$K$3:$L$66,2,0))&gt;3,0,VLOOKUP($A108,'6.kolo'!$K$3:$L$66,2,0)),VLOOKUP($A108,'6.kolo'!$L$3:$O$66,4,0))</f>
        <v/>
      </c>
      <c r="CA108" s="333">
        <f ca="1">IF(TYPE(VLOOKUP($A108,'6.kolo'!$L$3:$L$66,1,0))&gt;3,IF(TYPE(VLOOKUP($A108,'6.kolo'!$O$3:$Q$66,2,0))&gt;3,0,VLOOKUP($A108,'6.kolo'!$O$3:$Q$66,2,0)),VLOOKUP($A108,'6.kolo'!$L$3:$N$66,2,0))</f>
        <v>0</v>
      </c>
      <c r="CB108" s="333">
        <f ca="1">IF(TYPE(VLOOKUP($A108,'6.kolo'!$L$3:$L$66,1,0))&gt;3,IF(TYPE(VLOOKUP($A108,'6.kolo'!$O$3:$Q$66,3,0))&gt;3,0,VLOOKUP($A108,'6.kolo'!$O$3:$Q$66,3,0)),VLOOKUP($A108,'6.kolo'!$L$3:$N$66,3,0))</f>
        <v>0</v>
      </c>
      <c r="CC108" s="333">
        <f t="shared" ca="1" si="58"/>
        <v>0</v>
      </c>
      <c r="CD108" s="415"/>
      <c r="CE108" s="442" t="str">
        <f ca="1">IF(CD108="","",CONCATENATE(TEXT($O108,"0"),IF(Start.listina!$Y$5="","",TEXT(500+$P108,"000")),TEXT(999999*RAND(),"000000")))</f>
        <v/>
      </c>
      <c r="CF108" s="333">
        <f t="shared" ca="1" si="67"/>
        <v>0</v>
      </c>
    </row>
    <row r="109" spans="1:84" x14ac:dyDescent="0.25">
      <c r="A109" s="333" t="str">
        <f>IF(OR(Start.listina!H117&gt;Start.listina!$K$7,Start.listina!G117=TRUE),"",Start.listina!H117)</f>
        <v/>
      </c>
      <c r="B109" s="333" t="str">
        <f>IF($A109&gt;Start.listina!$K$7,"",INT(($A109-1)/Start.listina!$O$7)+1)</f>
        <v/>
      </c>
      <c r="C109" s="439" t="str">
        <f>IF(OR(Start.listina!H117&gt;Start.listina!$K$7,Start.listina!G117=TRUE)," - ",Start.listina!AL117)</f>
        <v xml:space="preserve"> - </v>
      </c>
      <c r="D109" s="333" t="str">
        <f>IF(OR(A109&gt;Start.listina!$K$7,TYPE(VLOOKUP(A109,$V$3:$X$130,3,0))&gt;3),"",VLOOKUP(A109,$V$3:$X$130,3,0))</f>
        <v/>
      </c>
      <c r="E109" s="440" t="str">
        <f>IF(A109&gt;Start.listina!$K$7,"",IF(MIN(F109:K109)&gt;Start.listina!$Y$4,D109,MIN(F109:K109)))</f>
        <v/>
      </c>
      <c r="F109" s="333">
        <f ca="1">IF(TYPE(VLOOKUP(C109,Konečné_pořadí_1_16!$B$2:$D$17,3,0))&lt;4,VLOOKUP(C109,Konečné_pořadí_1_16!$B$2:$D$17,3,0),999)</f>
        <v>999</v>
      </c>
      <c r="G109" s="333">
        <f ca="1">IF(TYPE(VLOOKUP(C109,'KO64'!$D$4:$D$129,1,0))&lt;4,64,999)</f>
        <v>64</v>
      </c>
      <c r="H109" s="333">
        <f ca="1">IF(TYPE(VLOOKUP(C109,'KO32'!$D$4:$D$65,1,0))&lt;4,32,999)</f>
        <v>32</v>
      </c>
      <c r="I109" s="333">
        <f ca="1">IF(TYPE(VLOOKUP(C109,'KO16'!$D$4:$D$33,1,0))&lt;4,16,999)</f>
        <v>999</v>
      </c>
      <c r="J109" s="333">
        <f ca="1">IF(TYPE(VLOOKUP(C109,'KO8'!$D$4:$D$17,1,0))&lt;4,8,999)</f>
        <v>999</v>
      </c>
      <c r="K109" s="333">
        <f ca="1">IF(TYPE(VLOOKUP(C109,'KO4'!$D$4:$D$9,1,0))&lt;4,4,999)</f>
        <v>999</v>
      </c>
      <c r="M109" s="334">
        <v>107</v>
      </c>
      <c r="O109" s="333">
        <f t="shared" ca="1" si="42"/>
        <v>0</v>
      </c>
      <c r="P109" s="333">
        <f t="shared" ca="1" si="43"/>
        <v>0</v>
      </c>
      <c r="Q109" s="333">
        <f t="shared" ca="1" si="60"/>
        <v>2</v>
      </c>
      <c r="R109" s="333">
        <f t="shared" ca="1" si="61"/>
        <v>0</v>
      </c>
      <c r="S109" s="333">
        <f t="shared" ca="1" si="44"/>
        <v>16</v>
      </c>
      <c r="T109" s="333">
        <f t="shared" ca="1" si="45"/>
        <v>0</v>
      </c>
      <c r="U109" s="415">
        <f t="shared" si="59"/>
        <v>107</v>
      </c>
      <c r="V109" s="415" t="s">
        <v>2005</v>
      </c>
      <c r="W109" s="441" t="str">
        <f ca="1">IF($V109="","",CONCATENATE(TEXT($O109,"0"),IF(Start.listina!$Y$5="","",TEXT(500+$P109,"0000")),IF(Start.listina!$Y$6="","",CHOOSE(Start.listina!$Y$7,TEXT($Q109,"00"),CONCATENATE(TEXT($Q109,"00"),TEXT($S109,"000")), TEXT($R109,"00"))),TEXT(500+$P109,"0000"),IF(Start.listina!$Y$8="","",TEXT($T109,"0")),TEXT(999999*RAND(),"000000")))</f>
        <v/>
      </c>
      <c r="X109" s="417">
        <f t="shared" si="46"/>
        <v>107</v>
      </c>
      <c r="Y109" s="415">
        <f t="shared" ca="1" si="62"/>
        <v>0</v>
      </c>
      <c r="Z109" s="333">
        <f t="shared" ca="1" si="47"/>
        <v>51</v>
      </c>
      <c r="AA109" s="333" t="str">
        <f t="shared" ca="1" si="48"/>
        <v/>
      </c>
      <c r="AB109" s="333" t="str">
        <f t="shared" ca="1" si="49"/>
        <v/>
      </c>
      <c r="AC109" s="333" t="str">
        <f t="shared" ca="1" si="50"/>
        <v/>
      </c>
      <c r="AD109" s="333" t="str">
        <f t="shared" ca="1" si="51"/>
        <v/>
      </c>
      <c r="AE109" s="333" t="str">
        <f t="shared" ca="1" si="52"/>
        <v/>
      </c>
      <c r="AG109" s="333">
        <f ca="1">IF(TYPE(VLOOKUP($A109,'1.kolo'!$L$3:$L$66,1,0))&gt;3,VLOOKUP($A109,'1.kolo'!$K$3:$L$66,2,0),VLOOKUP($A109,'1.kolo'!$L$3:$O$66,4,0))</f>
        <v>51</v>
      </c>
      <c r="AH109" s="333">
        <f ca="1">IF(TYPE(VLOOKUP($A109,'1.kolo'!$L$3:$L$66,1,0))&gt;3,VLOOKUP($A109,'1.kolo'!$O$3:$Q$66,2,0),VLOOKUP($A109,'1.kolo'!$L$3:$N$66,2,0))</f>
        <v>0</v>
      </c>
      <c r="AI109" s="333">
        <f ca="1">IF(TYPE(VLOOKUP($A109,'1.kolo'!$L$3:$L$66,1,0))&gt;3,VLOOKUP($A109,'1.kolo'!$O$3:$Q$66,3,0),VLOOKUP($A109,'1.kolo'!$L$3:$N$66,3,0))</f>
        <v>0</v>
      </c>
      <c r="AJ109" s="333">
        <f t="shared" ca="1" si="53"/>
        <v>0</v>
      </c>
      <c r="AK109" s="333">
        <v>107</v>
      </c>
      <c r="AL109" s="442"/>
      <c r="AP109" s="333" t="str">
        <f ca="1">IF(TYPE(VLOOKUP($A109,'2.kolo'!$L$3:$L$66,1,0))&gt;3,IF(TYPE(VLOOKUP($A109,'2.kolo'!$K$3:$L$66,2,0))&gt;3,0,VLOOKUP($A109,'2.kolo'!$K$3:$L$66,2,0)),VLOOKUP($A109,'2.kolo'!$L$3:$O$66,4,0))</f>
        <v/>
      </c>
      <c r="AQ109" s="333">
        <f ca="1">IF(TYPE(VLOOKUP($A109,'2.kolo'!$L$3:$L$66,1,0))&gt;3,IF(TYPE(VLOOKUP($A109,'2.kolo'!$O$3:$Q$66,2,0))&gt;3,0,VLOOKUP($A109,'2.kolo'!$O$3:$Q$66,2,0)),VLOOKUP($A109,'2.kolo'!$L$3:$N$66,2,0))</f>
        <v>0</v>
      </c>
      <c r="AR109" s="333">
        <f ca="1">IF(TYPE(VLOOKUP($A109,'2.kolo'!$L$3:$L$66,1,0))&gt;3,IF(TYPE(VLOOKUP($A109,'2.kolo'!$O$3:$Q$66,3,0))&gt;3,0,VLOOKUP($A109,'2.kolo'!$O$3:$Q$66,3,0)),VLOOKUP($A109,'2.kolo'!$L$3:$N$66,3,0))</f>
        <v>0</v>
      </c>
      <c r="AS109" s="333">
        <f t="shared" ca="1" si="54"/>
        <v>0</v>
      </c>
      <c r="AT109" s="415" t="s">
        <v>2005</v>
      </c>
      <c r="AU109" s="442" t="str">
        <f ca="1">IF(AT109="","",CONCATENATE(TEXT($O109,"0"),IF(Start.listina!$Y$5="","",TEXT(500+$P109,"000")),TEXT(999999*RAND(),"000000")))</f>
        <v/>
      </c>
      <c r="AV109" s="333">
        <f t="shared" ca="1" si="63"/>
        <v>0</v>
      </c>
      <c r="AY109" s="333" t="str">
        <f ca="1">IF(TYPE(VLOOKUP($A109,'3.kolo'!$L$3:$L$66,1,0))&gt;3,IF(TYPE(VLOOKUP($A109,'3.kolo'!$K$3:$L$66,2,0))&gt;3,0,VLOOKUP($A109,'3.kolo'!$K$3:$L$66,2,0)),VLOOKUP($A109,'3.kolo'!$L$3:$O$66,4,0))</f>
        <v/>
      </c>
      <c r="AZ109" s="333">
        <f ca="1">IF(TYPE(VLOOKUP($A109,'3.kolo'!$L$3:$L$66,1,0))&gt;3,IF(TYPE(VLOOKUP($A109,'3.kolo'!$O$3:$Q$66,2,0))&gt;3,0,VLOOKUP($A109,'3.kolo'!$O$3:$Q$66,2,0)),VLOOKUP($A109,'3.kolo'!$L$3:$N$66,2,0))</f>
        <v>0</v>
      </c>
      <c r="BA109" s="333">
        <f ca="1">IF(TYPE(VLOOKUP($A109,'3.kolo'!$L$3:$L$66,1,0))&gt;3,IF(TYPE(VLOOKUP($A109,'3.kolo'!$O$3:$Q$66,3,0))&gt;3,0,VLOOKUP($A109,'3.kolo'!$O$3:$Q$66,3,0)),VLOOKUP($A109,'3.kolo'!$L$3:$N$66,3,0))</f>
        <v>0</v>
      </c>
      <c r="BB109" s="333">
        <f t="shared" ca="1" si="55"/>
        <v>0</v>
      </c>
      <c r="BC109" s="415" t="s">
        <v>2005</v>
      </c>
      <c r="BD109" s="442" t="str">
        <f ca="1">IF(BC109="","",CONCATENATE(TEXT($O109,"0"),IF(Start.listina!$Y$5="","",TEXT(500+$P109,"000")),TEXT(999999*RAND(),"000000")))</f>
        <v/>
      </c>
      <c r="BE109" s="333">
        <f t="shared" ca="1" si="64"/>
        <v>0</v>
      </c>
      <c r="BH109" s="333" t="str">
        <f ca="1">IF(TYPE(VLOOKUP($A109,'4.kolo'!$L$3:$L$66,1,0))&gt;3,IF(TYPE(VLOOKUP($A109,'4.kolo'!$K$3:$L$66,2,0))&gt;3,0,VLOOKUP($A109,'4.kolo'!$K$3:$L$66,2,0)),VLOOKUP($A109,'4.kolo'!$L$3:$O$66,4,0))</f>
        <v/>
      </c>
      <c r="BI109" s="333">
        <f ca="1">IF(TYPE(VLOOKUP($A109,'4.kolo'!$L$3:$L$66,1,0))&gt;3,IF(TYPE(VLOOKUP($A109,'4.kolo'!$O$3:$Q$66,2,0))&gt;3,0,VLOOKUP($A109,'4.kolo'!$O$3:$Q$66,2,0)),VLOOKUP($A109,'4.kolo'!$L$3:$N$66,2,0))</f>
        <v>0</v>
      </c>
      <c r="BJ109" s="333">
        <f ca="1">IF(TYPE(VLOOKUP($A109,'4.kolo'!$L$3:$L$66,1,0))&gt;3,IF(TYPE(VLOOKUP($A109,'4.kolo'!$O$3:$Q$66,3,0))&gt;3,0,VLOOKUP($A109,'4.kolo'!$O$3:$Q$66,3,0)),VLOOKUP($A109,'4.kolo'!$L$3:$N$66,3,0))</f>
        <v>0</v>
      </c>
      <c r="BK109" s="333">
        <f t="shared" ca="1" si="56"/>
        <v>0</v>
      </c>
      <c r="BL109" s="415" t="s">
        <v>2005</v>
      </c>
      <c r="BM109" s="442" t="str">
        <f ca="1">IF(BL109="","",CONCATENATE(TEXT($O109,"0"),IF(Start.listina!$Y$5="","",TEXT(500+$P109,"000")),TEXT(999999*RAND(),"000000")))</f>
        <v/>
      </c>
      <c r="BN109" s="333">
        <f t="shared" ca="1" si="65"/>
        <v>0</v>
      </c>
      <c r="BQ109" s="333" t="str">
        <f ca="1">IF(TYPE(VLOOKUP($A109,'5.kolo'!$L$3:$L$66,1,0))&gt;3,IF(TYPE(VLOOKUP($A109,'5.kolo'!$K$3:$L$66,2,0))&gt;3,0,VLOOKUP($A109,'5.kolo'!$K$3:$L$66,2,0)),VLOOKUP($A109,'5.kolo'!$L$3:$O$66,4,0))</f>
        <v/>
      </c>
      <c r="BR109" s="333">
        <f ca="1">IF(TYPE(VLOOKUP($A109,'5.kolo'!$L$3:$L$66,1,0))&gt;3,IF(TYPE(VLOOKUP($A109,'5.kolo'!$O$3:$Q$66,2,0))&gt;3,0,VLOOKUP($A109,'5.kolo'!$O$3:$Q$66,2,0)),VLOOKUP($A109,'5.kolo'!$L$3:$N$66,2,0))</f>
        <v>0</v>
      </c>
      <c r="BS109" s="333">
        <f ca="1">IF(TYPE(VLOOKUP($A109,'5.kolo'!$L$3:$L$66,1,0))&gt;3,IF(TYPE(VLOOKUP($A109,'5.kolo'!$O$3:$Q$66,3,0))&gt;3,0,VLOOKUP($A109,'5.kolo'!$O$3:$Q$66,3,0)),VLOOKUP($A109,'5.kolo'!$L$3:$N$66,3,0))</f>
        <v>0</v>
      </c>
      <c r="BT109" s="333">
        <f t="shared" ca="1" si="57"/>
        <v>0</v>
      </c>
      <c r="BU109" s="415"/>
      <c r="BV109" s="442" t="str">
        <f ca="1">IF(BU109="","",CONCATENATE(TEXT($O109,"0"),IF(Start.listina!$Y$5="","",TEXT(500+$P109,"000")),TEXT(999999*RAND(),"000000")))</f>
        <v/>
      </c>
      <c r="BW109" s="333">
        <f t="shared" ca="1" si="66"/>
        <v>0</v>
      </c>
      <c r="BZ109" s="333" t="str">
        <f ca="1">IF(TYPE(VLOOKUP($A109,'6.kolo'!$L$3:$L$66,1,0))&gt;3,IF(TYPE(VLOOKUP($A109,'6.kolo'!$K$3:$L$66,2,0))&gt;3,0,VLOOKUP($A109,'6.kolo'!$K$3:$L$66,2,0)),VLOOKUP($A109,'6.kolo'!$L$3:$O$66,4,0))</f>
        <v/>
      </c>
      <c r="CA109" s="333">
        <f ca="1">IF(TYPE(VLOOKUP($A109,'6.kolo'!$L$3:$L$66,1,0))&gt;3,IF(TYPE(VLOOKUP($A109,'6.kolo'!$O$3:$Q$66,2,0))&gt;3,0,VLOOKUP($A109,'6.kolo'!$O$3:$Q$66,2,0)),VLOOKUP($A109,'6.kolo'!$L$3:$N$66,2,0))</f>
        <v>0</v>
      </c>
      <c r="CB109" s="333">
        <f ca="1">IF(TYPE(VLOOKUP($A109,'6.kolo'!$L$3:$L$66,1,0))&gt;3,IF(TYPE(VLOOKUP($A109,'6.kolo'!$O$3:$Q$66,3,0))&gt;3,0,VLOOKUP($A109,'6.kolo'!$O$3:$Q$66,3,0)),VLOOKUP($A109,'6.kolo'!$L$3:$N$66,3,0))</f>
        <v>0</v>
      </c>
      <c r="CC109" s="333">
        <f t="shared" ca="1" si="58"/>
        <v>0</v>
      </c>
      <c r="CD109" s="415"/>
      <c r="CE109" s="442" t="str">
        <f ca="1">IF(CD109="","",CONCATENATE(TEXT($O109,"0"),IF(Start.listina!$Y$5="","",TEXT(500+$P109,"000")),TEXT(999999*RAND(),"000000")))</f>
        <v/>
      </c>
      <c r="CF109" s="333">
        <f t="shared" ca="1" si="67"/>
        <v>0</v>
      </c>
    </row>
    <row r="110" spans="1:84" x14ac:dyDescent="0.25">
      <c r="A110" s="333" t="str">
        <f>IF(OR(Start.listina!H118&gt;Start.listina!$K$7,Start.listina!G118=TRUE),"",Start.listina!H118)</f>
        <v/>
      </c>
      <c r="B110" s="333" t="str">
        <f>IF($A110&gt;Start.listina!$K$7,"",INT(($A110-1)/Start.listina!$O$7)+1)</f>
        <v/>
      </c>
      <c r="C110" s="439" t="str">
        <f>IF(OR(Start.listina!H118&gt;Start.listina!$K$7,Start.listina!G118=TRUE)," - ",Start.listina!AL118)</f>
        <v xml:space="preserve"> - </v>
      </c>
      <c r="D110" s="333" t="str">
        <f>IF(OR(A110&gt;Start.listina!$K$7,TYPE(VLOOKUP(A110,$V$3:$X$130,3,0))&gt;3),"",VLOOKUP(A110,$V$3:$X$130,3,0))</f>
        <v/>
      </c>
      <c r="E110" s="440" t="str">
        <f>IF(A110&gt;Start.listina!$K$7,"",IF(MIN(F110:K110)&gt;Start.listina!$Y$4,D110,MIN(F110:K110)))</f>
        <v/>
      </c>
      <c r="F110" s="333">
        <f ca="1">IF(TYPE(VLOOKUP(C110,Konečné_pořadí_1_16!$B$2:$D$17,3,0))&lt;4,VLOOKUP(C110,Konečné_pořadí_1_16!$B$2:$D$17,3,0),999)</f>
        <v>999</v>
      </c>
      <c r="G110" s="333">
        <f ca="1">IF(TYPE(VLOOKUP(C110,'KO64'!$D$4:$D$129,1,0))&lt;4,64,999)</f>
        <v>64</v>
      </c>
      <c r="H110" s="333">
        <f ca="1">IF(TYPE(VLOOKUP(C110,'KO32'!$D$4:$D$65,1,0))&lt;4,32,999)</f>
        <v>32</v>
      </c>
      <c r="I110" s="333">
        <f ca="1">IF(TYPE(VLOOKUP(C110,'KO16'!$D$4:$D$33,1,0))&lt;4,16,999)</f>
        <v>999</v>
      </c>
      <c r="J110" s="333">
        <f ca="1">IF(TYPE(VLOOKUP(C110,'KO8'!$D$4:$D$17,1,0))&lt;4,8,999)</f>
        <v>999</v>
      </c>
      <c r="K110" s="333">
        <f ca="1">IF(TYPE(VLOOKUP(C110,'KO4'!$D$4:$D$9,1,0))&lt;4,4,999)</f>
        <v>999</v>
      </c>
      <c r="M110" s="334">
        <v>108</v>
      </c>
      <c r="O110" s="333">
        <f t="shared" ca="1" si="42"/>
        <v>0</v>
      </c>
      <c r="P110" s="333">
        <f t="shared" ca="1" si="43"/>
        <v>0</v>
      </c>
      <c r="Q110" s="333">
        <f t="shared" ca="1" si="60"/>
        <v>2</v>
      </c>
      <c r="R110" s="333">
        <f t="shared" ca="1" si="61"/>
        <v>0</v>
      </c>
      <c r="S110" s="333">
        <f t="shared" ca="1" si="44"/>
        <v>16</v>
      </c>
      <c r="T110" s="333">
        <f t="shared" ca="1" si="45"/>
        <v>0</v>
      </c>
      <c r="U110" s="415">
        <f t="shared" si="59"/>
        <v>108</v>
      </c>
      <c r="V110" s="415" t="s">
        <v>2005</v>
      </c>
      <c r="W110" s="441" t="str">
        <f ca="1">IF($V110="","",CONCATENATE(TEXT($O110,"0"),IF(Start.listina!$Y$5="","",TEXT(500+$P110,"0000")),IF(Start.listina!$Y$6="","",CHOOSE(Start.listina!$Y$7,TEXT($Q110,"00"),CONCATENATE(TEXT($Q110,"00"),TEXT($S110,"000")), TEXT($R110,"00"))),TEXT(500+$P110,"0000"),IF(Start.listina!$Y$8="","",TEXT($T110,"0")),TEXT(999999*RAND(),"000000")))</f>
        <v/>
      </c>
      <c r="X110" s="417">
        <f t="shared" si="46"/>
        <v>108</v>
      </c>
      <c r="Y110" s="415">
        <f t="shared" ca="1" si="62"/>
        <v>0</v>
      </c>
      <c r="Z110" s="333">
        <f t="shared" ca="1" si="47"/>
        <v>51</v>
      </c>
      <c r="AA110" s="333" t="str">
        <f t="shared" ca="1" si="48"/>
        <v/>
      </c>
      <c r="AB110" s="333" t="str">
        <f t="shared" ca="1" si="49"/>
        <v/>
      </c>
      <c r="AC110" s="333" t="str">
        <f t="shared" ca="1" si="50"/>
        <v/>
      </c>
      <c r="AD110" s="333" t="str">
        <f t="shared" ca="1" si="51"/>
        <v/>
      </c>
      <c r="AE110" s="333" t="str">
        <f t="shared" ca="1" si="52"/>
        <v/>
      </c>
      <c r="AG110" s="333">
        <f ca="1">IF(TYPE(VLOOKUP($A110,'1.kolo'!$L$3:$L$66,1,0))&gt;3,VLOOKUP($A110,'1.kolo'!$K$3:$L$66,2,0),VLOOKUP($A110,'1.kolo'!$L$3:$O$66,4,0))</f>
        <v>51</v>
      </c>
      <c r="AH110" s="333">
        <f ca="1">IF(TYPE(VLOOKUP($A110,'1.kolo'!$L$3:$L$66,1,0))&gt;3,VLOOKUP($A110,'1.kolo'!$O$3:$Q$66,2,0),VLOOKUP($A110,'1.kolo'!$L$3:$N$66,2,0))</f>
        <v>0</v>
      </c>
      <c r="AI110" s="333">
        <f ca="1">IF(TYPE(VLOOKUP($A110,'1.kolo'!$L$3:$L$66,1,0))&gt;3,VLOOKUP($A110,'1.kolo'!$O$3:$Q$66,3,0),VLOOKUP($A110,'1.kolo'!$L$3:$N$66,3,0))</f>
        <v>0</v>
      </c>
      <c r="AJ110" s="333">
        <f t="shared" ca="1" si="53"/>
        <v>0</v>
      </c>
      <c r="AK110" s="333">
        <v>108</v>
      </c>
      <c r="AL110" s="442"/>
      <c r="AP110" s="333" t="str">
        <f ca="1">IF(TYPE(VLOOKUP($A110,'2.kolo'!$L$3:$L$66,1,0))&gt;3,IF(TYPE(VLOOKUP($A110,'2.kolo'!$K$3:$L$66,2,0))&gt;3,0,VLOOKUP($A110,'2.kolo'!$K$3:$L$66,2,0)),VLOOKUP($A110,'2.kolo'!$L$3:$O$66,4,0))</f>
        <v/>
      </c>
      <c r="AQ110" s="333">
        <f ca="1">IF(TYPE(VLOOKUP($A110,'2.kolo'!$L$3:$L$66,1,0))&gt;3,IF(TYPE(VLOOKUP($A110,'2.kolo'!$O$3:$Q$66,2,0))&gt;3,0,VLOOKUP($A110,'2.kolo'!$O$3:$Q$66,2,0)),VLOOKUP($A110,'2.kolo'!$L$3:$N$66,2,0))</f>
        <v>0</v>
      </c>
      <c r="AR110" s="333">
        <f ca="1">IF(TYPE(VLOOKUP($A110,'2.kolo'!$L$3:$L$66,1,0))&gt;3,IF(TYPE(VLOOKUP($A110,'2.kolo'!$O$3:$Q$66,3,0))&gt;3,0,VLOOKUP($A110,'2.kolo'!$O$3:$Q$66,3,0)),VLOOKUP($A110,'2.kolo'!$L$3:$N$66,3,0))</f>
        <v>0</v>
      </c>
      <c r="AS110" s="333">
        <f t="shared" ca="1" si="54"/>
        <v>0</v>
      </c>
      <c r="AT110" s="415" t="s">
        <v>2005</v>
      </c>
      <c r="AU110" s="442" t="str">
        <f ca="1">IF(AT110="","",CONCATENATE(TEXT($O110,"0"),IF(Start.listina!$Y$5="","",TEXT(500+$P110,"000")),TEXT(999999*RAND(),"000000")))</f>
        <v/>
      </c>
      <c r="AV110" s="333">
        <f t="shared" ca="1" si="63"/>
        <v>0</v>
      </c>
      <c r="AY110" s="333" t="str">
        <f ca="1">IF(TYPE(VLOOKUP($A110,'3.kolo'!$L$3:$L$66,1,0))&gt;3,IF(TYPE(VLOOKUP($A110,'3.kolo'!$K$3:$L$66,2,0))&gt;3,0,VLOOKUP($A110,'3.kolo'!$K$3:$L$66,2,0)),VLOOKUP($A110,'3.kolo'!$L$3:$O$66,4,0))</f>
        <v/>
      </c>
      <c r="AZ110" s="333">
        <f ca="1">IF(TYPE(VLOOKUP($A110,'3.kolo'!$L$3:$L$66,1,0))&gt;3,IF(TYPE(VLOOKUP($A110,'3.kolo'!$O$3:$Q$66,2,0))&gt;3,0,VLOOKUP($A110,'3.kolo'!$O$3:$Q$66,2,0)),VLOOKUP($A110,'3.kolo'!$L$3:$N$66,2,0))</f>
        <v>0</v>
      </c>
      <c r="BA110" s="333">
        <f ca="1">IF(TYPE(VLOOKUP($A110,'3.kolo'!$L$3:$L$66,1,0))&gt;3,IF(TYPE(VLOOKUP($A110,'3.kolo'!$O$3:$Q$66,3,0))&gt;3,0,VLOOKUP($A110,'3.kolo'!$O$3:$Q$66,3,0)),VLOOKUP($A110,'3.kolo'!$L$3:$N$66,3,0))</f>
        <v>0</v>
      </c>
      <c r="BB110" s="333">
        <f t="shared" ca="1" si="55"/>
        <v>0</v>
      </c>
      <c r="BC110" s="415" t="s">
        <v>2005</v>
      </c>
      <c r="BD110" s="442" t="str">
        <f ca="1">IF(BC110="","",CONCATENATE(TEXT($O110,"0"),IF(Start.listina!$Y$5="","",TEXT(500+$P110,"000")),TEXT(999999*RAND(),"000000")))</f>
        <v/>
      </c>
      <c r="BE110" s="333">
        <f t="shared" ca="1" si="64"/>
        <v>0</v>
      </c>
      <c r="BH110" s="333" t="str">
        <f ca="1">IF(TYPE(VLOOKUP($A110,'4.kolo'!$L$3:$L$66,1,0))&gt;3,IF(TYPE(VLOOKUP($A110,'4.kolo'!$K$3:$L$66,2,0))&gt;3,0,VLOOKUP($A110,'4.kolo'!$K$3:$L$66,2,0)),VLOOKUP($A110,'4.kolo'!$L$3:$O$66,4,0))</f>
        <v/>
      </c>
      <c r="BI110" s="333">
        <f ca="1">IF(TYPE(VLOOKUP($A110,'4.kolo'!$L$3:$L$66,1,0))&gt;3,IF(TYPE(VLOOKUP($A110,'4.kolo'!$O$3:$Q$66,2,0))&gt;3,0,VLOOKUP($A110,'4.kolo'!$O$3:$Q$66,2,0)),VLOOKUP($A110,'4.kolo'!$L$3:$N$66,2,0))</f>
        <v>0</v>
      </c>
      <c r="BJ110" s="333">
        <f ca="1">IF(TYPE(VLOOKUP($A110,'4.kolo'!$L$3:$L$66,1,0))&gt;3,IF(TYPE(VLOOKUP($A110,'4.kolo'!$O$3:$Q$66,3,0))&gt;3,0,VLOOKUP($A110,'4.kolo'!$O$3:$Q$66,3,0)),VLOOKUP($A110,'4.kolo'!$L$3:$N$66,3,0))</f>
        <v>0</v>
      </c>
      <c r="BK110" s="333">
        <f t="shared" ca="1" si="56"/>
        <v>0</v>
      </c>
      <c r="BL110" s="415" t="s">
        <v>2005</v>
      </c>
      <c r="BM110" s="442" t="str">
        <f ca="1">IF(BL110="","",CONCATENATE(TEXT($O110,"0"),IF(Start.listina!$Y$5="","",TEXT(500+$P110,"000")),TEXT(999999*RAND(),"000000")))</f>
        <v/>
      </c>
      <c r="BN110" s="333">
        <f t="shared" ca="1" si="65"/>
        <v>0</v>
      </c>
      <c r="BQ110" s="333" t="str">
        <f ca="1">IF(TYPE(VLOOKUP($A110,'5.kolo'!$L$3:$L$66,1,0))&gt;3,IF(TYPE(VLOOKUP($A110,'5.kolo'!$K$3:$L$66,2,0))&gt;3,0,VLOOKUP($A110,'5.kolo'!$K$3:$L$66,2,0)),VLOOKUP($A110,'5.kolo'!$L$3:$O$66,4,0))</f>
        <v/>
      </c>
      <c r="BR110" s="333">
        <f ca="1">IF(TYPE(VLOOKUP($A110,'5.kolo'!$L$3:$L$66,1,0))&gt;3,IF(TYPE(VLOOKUP($A110,'5.kolo'!$O$3:$Q$66,2,0))&gt;3,0,VLOOKUP($A110,'5.kolo'!$O$3:$Q$66,2,0)),VLOOKUP($A110,'5.kolo'!$L$3:$N$66,2,0))</f>
        <v>0</v>
      </c>
      <c r="BS110" s="333">
        <f ca="1">IF(TYPE(VLOOKUP($A110,'5.kolo'!$L$3:$L$66,1,0))&gt;3,IF(TYPE(VLOOKUP($A110,'5.kolo'!$O$3:$Q$66,3,0))&gt;3,0,VLOOKUP($A110,'5.kolo'!$O$3:$Q$66,3,0)),VLOOKUP($A110,'5.kolo'!$L$3:$N$66,3,0))</f>
        <v>0</v>
      </c>
      <c r="BT110" s="333">
        <f t="shared" ca="1" si="57"/>
        <v>0</v>
      </c>
      <c r="BU110" s="415"/>
      <c r="BV110" s="442" t="str">
        <f ca="1">IF(BU110="","",CONCATENATE(TEXT($O110,"0"),IF(Start.listina!$Y$5="","",TEXT(500+$P110,"000")),TEXT(999999*RAND(),"000000")))</f>
        <v/>
      </c>
      <c r="BW110" s="333">
        <f t="shared" ca="1" si="66"/>
        <v>0</v>
      </c>
      <c r="BZ110" s="333" t="str">
        <f ca="1">IF(TYPE(VLOOKUP($A110,'6.kolo'!$L$3:$L$66,1,0))&gt;3,IF(TYPE(VLOOKUP($A110,'6.kolo'!$K$3:$L$66,2,0))&gt;3,0,VLOOKUP($A110,'6.kolo'!$K$3:$L$66,2,0)),VLOOKUP($A110,'6.kolo'!$L$3:$O$66,4,0))</f>
        <v/>
      </c>
      <c r="CA110" s="333">
        <f ca="1">IF(TYPE(VLOOKUP($A110,'6.kolo'!$L$3:$L$66,1,0))&gt;3,IF(TYPE(VLOOKUP($A110,'6.kolo'!$O$3:$Q$66,2,0))&gt;3,0,VLOOKUP($A110,'6.kolo'!$O$3:$Q$66,2,0)),VLOOKUP($A110,'6.kolo'!$L$3:$N$66,2,0))</f>
        <v>0</v>
      </c>
      <c r="CB110" s="333">
        <f ca="1">IF(TYPE(VLOOKUP($A110,'6.kolo'!$L$3:$L$66,1,0))&gt;3,IF(TYPE(VLOOKUP($A110,'6.kolo'!$O$3:$Q$66,3,0))&gt;3,0,VLOOKUP($A110,'6.kolo'!$O$3:$Q$66,3,0)),VLOOKUP($A110,'6.kolo'!$L$3:$N$66,3,0))</f>
        <v>0</v>
      </c>
      <c r="CC110" s="333">
        <f t="shared" ca="1" si="58"/>
        <v>0</v>
      </c>
      <c r="CD110" s="415"/>
      <c r="CE110" s="442" t="str">
        <f ca="1">IF(CD110="","",CONCATENATE(TEXT($O110,"0"),IF(Start.listina!$Y$5="","",TEXT(500+$P110,"000")),TEXT(999999*RAND(),"000000")))</f>
        <v/>
      </c>
      <c r="CF110" s="333">
        <f t="shared" ca="1" si="67"/>
        <v>0</v>
      </c>
    </row>
    <row r="111" spans="1:84" x14ac:dyDescent="0.25">
      <c r="A111" s="333" t="str">
        <f>IF(OR(Start.listina!H119&gt;Start.listina!$K$7,Start.listina!G119=TRUE),"",Start.listina!H119)</f>
        <v/>
      </c>
      <c r="B111" s="333" t="str">
        <f>IF($A111&gt;Start.listina!$K$7,"",INT(($A111-1)/Start.listina!$O$7)+1)</f>
        <v/>
      </c>
      <c r="C111" s="439" t="str">
        <f>IF(OR(Start.listina!H119&gt;Start.listina!$K$7,Start.listina!G119=TRUE)," - ",Start.listina!AL119)</f>
        <v xml:space="preserve"> - </v>
      </c>
      <c r="D111" s="333" t="str">
        <f>IF(OR(A111&gt;Start.listina!$K$7,TYPE(VLOOKUP(A111,$V$3:$X$130,3,0))&gt;3),"",VLOOKUP(A111,$V$3:$X$130,3,0))</f>
        <v/>
      </c>
      <c r="E111" s="440" t="str">
        <f>IF(A111&gt;Start.listina!$K$7,"",IF(MIN(F111:K111)&gt;Start.listina!$Y$4,D111,MIN(F111:K111)))</f>
        <v/>
      </c>
      <c r="F111" s="333">
        <f ca="1">IF(TYPE(VLOOKUP(C111,Konečné_pořadí_1_16!$B$2:$D$17,3,0))&lt;4,VLOOKUP(C111,Konečné_pořadí_1_16!$B$2:$D$17,3,0),999)</f>
        <v>999</v>
      </c>
      <c r="G111" s="333">
        <f ca="1">IF(TYPE(VLOOKUP(C111,'KO64'!$D$4:$D$129,1,0))&lt;4,64,999)</f>
        <v>64</v>
      </c>
      <c r="H111" s="333">
        <f ca="1">IF(TYPE(VLOOKUP(C111,'KO32'!$D$4:$D$65,1,0))&lt;4,32,999)</f>
        <v>32</v>
      </c>
      <c r="I111" s="333">
        <f ca="1">IF(TYPE(VLOOKUP(C111,'KO16'!$D$4:$D$33,1,0))&lt;4,16,999)</f>
        <v>999</v>
      </c>
      <c r="J111" s="333">
        <f ca="1">IF(TYPE(VLOOKUP(C111,'KO8'!$D$4:$D$17,1,0))&lt;4,8,999)</f>
        <v>999</v>
      </c>
      <c r="K111" s="333">
        <f ca="1">IF(TYPE(VLOOKUP(C111,'KO4'!$D$4:$D$9,1,0))&lt;4,4,999)</f>
        <v>999</v>
      </c>
      <c r="M111" s="334">
        <v>109</v>
      </c>
      <c r="O111" s="333">
        <f t="shared" ca="1" si="42"/>
        <v>0</v>
      </c>
      <c r="P111" s="333">
        <f t="shared" ca="1" si="43"/>
        <v>0</v>
      </c>
      <c r="Q111" s="333">
        <f t="shared" ca="1" si="60"/>
        <v>2</v>
      </c>
      <c r="R111" s="333">
        <f t="shared" ca="1" si="61"/>
        <v>0</v>
      </c>
      <c r="S111" s="333">
        <f t="shared" ca="1" si="44"/>
        <v>16</v>
      </c>
      <c r="T111" s="333">
        <f t="shared" ca="1" si="45"/>
        <v>0</v>
      </c>
      <c r="U111" s="415">
        <f t="shared" si="59"/>
        <v>109</v>
      </c>
      <c r="V111" s="415" t="s">
        <v>2005</v>
      </c>
      <c r="W111" s="441" t="str">
        <f ca="1">IF($V111="","",CONCATENATE(TEXT($O111,"0"),IF(Start.listina!$Y$5="","",TEXT(500+$P111,"0000")),IF(Start.listina!$Y$6="","",CHOOSE(Start.listina!$Y$7,TEXT($Q111,"00"),CONCATENATE(TEXT($Q111,"00"),TEXT($S111,"000")), TEXT($R111,"00"))),TEXT(500+$P111,"0000"),IF(Start.listina!$Y$8="","",TEXT($T111,"0")),TEXT(999999*RAND(),"000000")))</f>
        <v/>
      </c>
      <c r="X111" s="417">
        <f t="shared" si="46"/>
        <v>109</v>
      </c>
      <c r="Y111" s="415">
        <f t="shared" ca="1" si="62"/>
        <v>0</v>
      </c>
      <c r="Z111" s="333">
        <f t="shared" ca="1" si="47"/>
        <v>51</v>
      </c>
      <c r="AA111" s="333" t="str">
        <f t="shared" ca="1" si="48"/>
        <v/>
      </c>
      <c r="AB111" s="333" t="str">
        <f t="shared" ca="1" si="49"/>
        <v/>
      </c>
      <c r="AC111" s="333" t="str">
        <f t="shared" ca="1" si="50"/>
        <v/>
      </c>
      <c r="AD111" s="333" t="str">
        <f t="shared" ca="1" si="51"/>
        <v/>
      </c>
      <c r="AE111" s="333" t="str">
        <f t="shared" ca="1" si="52"/>
        <v/>
      </c>
      <c r="AG111" s="333">
        <f ca="1">IF(TYPE(VLOOKUP($A111,'1.kolo'!$L$3:$L$66,1,0))&gt;3,VLOOKUP($A111,'1.kolo'!$K$3:$L$66,2,0),VLOOKUP($A111,'1.kolo'!$L$3:$O$66,4,0))</f>
        <v>51</v>
      </c>
      <c r="AH111" s="333">
        <f ca="1">IF(TYPE(VLOOKUP($A111,'1.kolo'!$L$3:$L$66,1,0))&gt;3,VLOOKUP($A111,'1.kolo'!$O$3:$Q$66,2,0),VLOOKUP($A111,'1.kolo'!$L$3:$N$66,2,0))</f>
        <v>0</v>
      </c>
      <c r="AI111" s="333">
        <f ca="1">IF(TYPE(VLOOKUP($A111,'1.kolo'!$L$3:$L$66,1,0))&gt;3,VLOOKUP($A111,'1.kolo'!$O$3:$Q$66,3,0),VLOOKUP($A111,'1.kolo'!$L$3:$N$66,3,0))</f>
        <v>0</v>
      </c>
      <c r="AJ111" s="333">
        <f t="shared" ca="1" si="53"/>
        <v>0</v>
      </c>
      <c r="AK111" s="333">
        <v>109</v>
      </c>
      <c r="AL111" s="442"/>
      <c r="AP111" s="333" t="str">
        <f ca="1">IF(TYPE(VLOOKUP($A111,'2.kolo'!$L$3:$L$66,1,0))&gt;3,IF(TYPE(VLOOKUP($A111,'2.kolo'!$K$3:$L$66,2,0))&gt;3,0,VLOOKUP($A111,'2.kolo'!$K$3:$L$66,2,0)),VLOOKUP($A111,'2.kolo'!$L$3:$O$66,4,0))</f>
        <v/>
      </c>
      <c r="AQ111" s="333">
        <f ca="1">IF(TYPE(VLOOKUP($A111,'2.kolo'!$L$3:$L$66,1,0))&gt;3,IF(TYPE(VLOOKUP($A111,'2.kolo'!$O$3:$Q$66,2,0))&gt;3,0,VLOOKUP($A111,'2.kolo'!$O$3:$Q$66,2,0)),VLOOKUP($A111,'2.kolo'!$L$3:$N$66,2,0))</f>
        <v>0</v>
      </c>
      <c r="AR111" s="333">
        <f ca="1">IF(TYPE(VLOOKUP($A111,'2.kolo'!$L$3:$L$66,1,0))&gt;3,IF(TYPE(VLOOKUP($A111,'2.kolo'!$O$3:$Q$66,3,0))&gt;3,0,VLOOKUP($A111,'2.kolo'!$O$3:$Q$66,3,0)),VLOOKUP($A111,'2.kolo'!$L$3:$N$66,3,0))</f>
        <v>0</v>
      </c>
      <c r="AS111" s="333">
        <f t="shared" ca="1" si="54"/>
        <v>0</v>
      </c>
      <c r="AT111" s="415" t="s">
        <v>2005</v>
      </c>
      <c r="AU111" s="442" t="str">
        <f ca="1">IF(AT111="","",CONCATENATE(TEXT($O111,"0"),IF(Start.listina!$Y$5="","",TEXT(500+$P111,"000")),TEXT(999999*RAND(),"000000")))</f>
        <v/>
      </c>
      <c r="AV111" s="333">
        <f t="shared" ca="1" si="63"/>
        <v>0</v>
      </c>
      <c r="AY111" s="333" t="str">
        <f ca="1">IF(TYPE(VLOOKUP($A111,'3.kolo'!$L$3:$L$66,1,0))&gt;3,IF(TYPE(VLOOKUP($A111,'3.kolo'!$K$3:$L$66,2,0))&gt;3,0,VLOOKUP($A111,'3.kolo'!$K$3:$L$66,2,0)),VLOOKUP($A111,'3.kolo'!$L$3:$O$66,4,0))</f>
        <v/>
      </c>
      <c r="AZ111" s="333">
        <f ca="1">IF(TYPE(VLOOKUP($A111,'3.kolo'!$L$3:$L$66,1,0))&gt;3,IF(TYPE(VLOOKUP($A111,'3.kolo'!$O$3:$Q$66,2,0))&gt;3,0,VLOOKUP($A111,'3.kolo'!$O$3:$Q$66,2,0)),VLOOKUP($A111,'3.kolo'!$L$3:$N$66,2,0))</f>
        <v>0</v>
      </c>
      <c r="BA111" s="333">
        <f ca="1">IF(TYPE(VLOOKUP($A111,'3.kolo'!$L$3:$L$66,1,0))&gt;3,IF(TYPE(VLOOKUP($A111,'3.kolo'!$O$3:$Q$66,3,0))&gt;3,0,VLOOKUP($A111,'3.kolo'!$O$3:$Q$66,3,0)),VLOOKUP($A111,'3.kolo'!$L$3:$N$66,3,0))</f>
        <v>0</v>
      </c>
      <c r="BB111" s="333">
        <f t="shared" ca="1" si="55"/>
        <v>0</v>
      </c>
      <c r="BC111" s="415" t="s">
        <v>2005</v>
      </c>
      <c r="BD111" s="442" t="str">
        <f ca="1">IF(BC111="","",CONCATENATE(TEXT($O111,"0"),IF(Start.listina!$Y$5="","",TEXT(500+$P111,"000")),TEXT(999999*RAND(),"000000")))</f>
        <v/>
      </c>
      <c r="BE111" s="333">
        <f t="shared" ca="1" si="64"/>
        <v>0</v>
      </c>
      <c r="BH111" s="333" t="str">
        <f ca="1">IF(TYPE(VLOOKUP($A111,'4.kolo'!$L$3:$L$66,1,0))&gt;3,IF(TYPE(VLOOKUP($A111,'4.kolo'!$K$3:$L$66,2,0))&gt;3,0,VLOOKUP($A111,'4.kolo'!$K$3:$L$66,2,0)),VLOOKUP($A111,'4.kolo'!$L$3:$O$66,4,0))</f>
        <v/>
      </c>
      <c r="BI111" s="333">
        <f ca="1">IF(TYPE(VLOOKUP($A111,'4.kolo'!$L$3:$L$66,1,0))&gt;3,IF(TYPE(VLOOKUP($A111,'4.kolo'!$O$3:$Q$66,2,0))&gt;3,0,VLOOKUP($A111,'4.kolo'!$O$3:$Q$66,2,0)),VLOOKUP($A111,'4.kolo'!$L$3:$N$66,2,0))</f>
        <v>0</v>
      </c>
      <c r="BJ111" s="333">
        <f ca="1">IF(TYPE(VLOOKUP($A111,'4.kolo'!$L$3:$L$66,1,0))&gt;3,IF(TYPE(VLOOKUP($A111,'4.kolo'!$O$3:$Q$66,3,0))&gt;3,0,VLOOKUP($A111,'4.kolo'!$O$3:$Q$66,3,0)),VLOOKUP($A111,'4.kolo'!$L$3:$N$66,3,0))</f>
        <v>0</v>
      </c>
      <c r="BK111" s="333">
        <f t="shared" ca="1" si="56"/>
        <v>0</v>
      </c>
      <c r="BL111" s="415" t="s">
        <v>2005</v>
      </c>
      <c r="BM111" s="442" t="str">
        <f ca="1">IF(BL111="","",CONCATENATE(TEXT($O111,"0"),IF(Start.listina!$Y$5="","",TEXT(500+$P111,"000")),TEXT(999999*RAND(),"000000")))</f>
        <v/>
      </c>
      <c r="BN111" s="333">
        <f t="shared" ca="1" si="65"/>
        <v>0</v>
      </c>
      <c r="BQ111" s="333" t="str">
        <f ca="1">IF(TYPE(VLOOKUP($A111,'5.kolo'!$L$3:$L$66,1,0))&gt;3,IF(TYPE(VLOOKUP($A111,'5.kolo'!$K$3:$L$66,2,0))&gt;3,0,VLOOKUP($A111,'5.kolo'!$K$3:$L$66,2,0)),VLOOKUP($A111,'5.kolo'!$L$3:$O$66,4,0))</f>
        <v/>
      </c>
      <c r="BR111" s="333">
        <f ca="1">IF(TYPE(VLOOKUP($A111,'5.kolo'!$L$3:$L$66,1,0))&gt;3,IF(TYPE(VLOOKUP($A111,'5.kolo'!$O$3:$Q$66,2,0))&gt;3,0,VLOOKUP($A111,'5.kolo'!$O$3:$Q$66,2,0)),VLOOKUP($A111,'5.kolo'!$L$3:$N$66,2,0))</f>
        <v>0</v>
      </c>
      <c r="BS111" s="333">
        <f ca="1">IF(TYPE(VLOOKUP($A111,'5.kolo'!$L$3:$L$66,1,0))&gt;3,IF(TYPE(VLOOKUP($A111,'5.kolo'!$O$3:$Q$66,3,0))&gt;3,0,VLOOKUP($A111,'5.kolo'!$O$3:$Q$66,3,0)),VLOOKUP($A111,'5.kolo'!$L$3:$N$66,3,0))</f>
        <v>0</v>
      </c>
      <c r="BT111" s="333">
        <f t="shared" ca="1" si="57"/>
        <v>0</v>
      </c>
      <c r="BU111" s="415"/>
      <c r="BV111" s="442" t="str">
        <f ca="1">IF(BU111="","",CONCATENATE(TEXT($O111,"0"),IF(Start.listina!$Y$5="","",TEXT(500+$P111,"000")),TEXT(999999*RAND(),"000000")))</f>
        <v/>
      </c>
      <c r="BW111" s="333">
        <f t="shared" ca="1" si="66"/>
        <v>0</v>
      </c>
      <c r="BZ111" s="333" t="str">
        <f ca="1">IF(TYPE(VLOOKUP($A111,'6.kolo'!$L$3:$L$66,1,0))&gt;3,IF(TYPE(VLOOKUP($A111,'6.kolo'!$K$3:$L$66,2,0))&gt;3,0,VLOOKUP($A111,'6.kolo'!$K$3:$L$66,2,0)),VLOOKUP($A111,'6.kolo'!$L$3:$O$66,4,0))</f>
        <v/>
      </c>
      <c r="CA111" s="333">
        <f ca="1">IF(TYPE(VLOOKUP($A111,'6.kolo'!$L$3:$L$66,1,0))&gt;3,IF(TYPE(VLOOKUP($A111,'6.kolo'!$O$3:$Q$66,2,0))&gt;3,0,VLOOKUP($A111,'6.kolo'!$O$3:$Q$66,2,0)),VLOOKUP($A111,'6.kolo'!$L$3:$N$66,2,0))</f>
        <v>0</v>
      </c>
      <c r="CB111" s="333">
        <f ca="1">IF(TYPE(VLOOKUP($A111,'6.kolo'!$L$3:$L$66,1,0))&gt;3,IF(TYPE(VLOOKUP($A111,'6.kolo'!$O$3:$Q$66,3,0))&gt;3,0,VLOOKUP($A111,'6.kolo'!$O$3:$Q$66,3,0)),VLOOKUP($A111,'6.kolo'!$L$3:$N$66,3,0))</f>
        <v>0</v>
      </c>
      <c r="CC111" s="333">
        <f t="shared" ca="1" si="58"/>
        <v>0</v>
      </c>
      <c r="CD111" s="415"/>
      <c r="CE111" s="442" t="str">
        <f ca="1">IF(CD111="","",CONCATENATE(TEXT($O111,"0"),IF(Start.listina!$Y$5="","",TEXT(500+$P111,"000")),TEXT(999999*RAND(),"000000")))</f>
        <v/>
      </c>
      <c r="CF111" s="333">
        <f t="shared" ca="1" si="67"/>
        <v>0</v>
      </c>
    </row>
    <row r="112" spans="1:84" x14ac:dyDescent="0.25">
      <c r="A112" s="333" t="str">
        <f>IF(OR(Start.listina!H120&gt;Start.listina!$K$7,Start.listina!G120=TRUE),"",Start.listina!H120)</f>
        <v/>
      </c>
      <c r="B112" s="333" t="str">
        <f>IF($A112&gt;Start.listina!$K$7,"",INT(($A112-1)/Start.listina!$O$7)+1)</f>
        <v/>
      </c>
      <c r="C112" s="439" t="str">
        <f>IF(OR(Start.listina!H120&gt;Start.listina!$K$7,Start.listina!G120=TRUE)," - ",Start.listina!AL120)</f>
        <v xml:space="preserve"> - </v>
      </c>
      <c r="D112" s="333" t="str">
        <f>IF(OR(A112&gt;Start.listina!$K$7,TYPE(VLOOKUP(A112,$V$3:$X$130,3,0))&gt;3),"",VLOOKUP(A112,$V$3:$X$130,3,0))</f>
        <v/>
      </c>
      <c r="E112" s="440" t="str">
        <f>IF(A112&gt;Start.listina!$K$7,"",IF(MIN(F112:K112)&gt;Start.listina!$Y$4,D112,MIN(F112:K112)))</f>
        <v/>
      </c>
      <c r="F112" s="333">
        <f ca="1">IF(TYPE(VLOOKUP(C112,Konečné_pořadí_1_16!$B$2:$D$17,3,0))&lt;4,VLOOKUP(C112,Konečné_pořadí_1_16!$B$2:$D$17,3,0),999)</f>
        <v>999</v>
      </c>
      <c r="G112" s="333">
        <f ca="1">IF(TYPE(VLOOKUP(C112,'KO64'!$D$4:$D$129,1,0))&lt;4,64,999)</f>
        <v>64</v>
      </c>
      <c r="H112" s="333">
        <f ca="1">IF(TYPE(VLOOKUP(C112,'KO32'!$D$4:$D$65,1,0))&lt;4,32,999)</f>
        <v>32</v>
      </c>
      <c r="I112" s="333">
        <f ca="1">IF(TYPE(VLOOKUP(C112,'KO16'!$D$4:$D$33,1,0))&lt;4,16,999)</f>
        <v>999</v>
      </c>
      <c r="J112" s="333">
        <f ca="1">IF(TYPE(VLOOKUP(C112,'KO8'!$D$4:$D$17,1,0))&lt;4,8,999)</f>
        <v>999</v>
      </c>
      <c r="K112" s="333">
        <f ca="1">IF(TYPE(VLOOKUP(C112,'KO4'!$D$4:$D$9,1,0))&lt;4,4,999)</f>
        <v>999</v>
      </c>
      <c r="M112" s="334">
        <v>110</v>
      </c>
      <c r="O112" s="333">
        <f t="shared" ca="1" si="42"/>
        <v>0</v>
      </c>
      <c r="P112" s="333">
        <f t="shared" ca="1" si="43"/>
        <v>0</v>
      </c>
      <c r="Q112" s="333">
        <f t="shared" ca="1" si="60"/>
        <v>2</v>
      </c>
      <c r="R112" s="333">
        <f t="shared" ca="1" si="61"/>
        <v>0</v>
      </c>
      <c r="S112" s="333">
        <f t="shared" ca="1" si="44"/>
        <v>16</v>
      </c>
      <c r="T112" s="333">
        <f t="shared" ca="1" si="45"/>
        <v>0</v>
      </c>
      <c r="U112" s="415">
        <f t="shared" si="59"/>
        <v>110</v>
      </c>
      <c r="V112" s="415" t="s">
        <v>2005</v>
      </c>
      <c r="W112" s="441" t="str">
        <f ca="1">IF($V112="","",CONCATENATE(TEXT($O112,"0"),IF(Start.listina!$Y$5="","",TEXT(500+$P112,"0000")),IF(Start.listina!$Y$6="","",CHOOSE(Start.listina!$Y$7,TEXT($Q112,"00"),CONCATENATE(TEXT($Q112,"00"),TEXT($S112,"000")), TEXT($R112,"00"))),TEXT(500+$P112,"0000"),IF(Start.listina!$Y$8="","",TEXT($T112,"0")),TEXT(999999*RAND(),"000000")))</f>
        <v/>
      </c>
      <c r="X112" s="417">
        <f t="shared" si="46"/>
        <v>110</v>
      </c>
      <c r="Y112" s="415">
        <f t="shared" ca="1" si="62"/>
        <v>0</v>
      </c>
      <c r="Z112" s="333">
        <f t="shared" ca="1" si="47"/>
        <v>51</v>
      </c>
      <c r="AA112" s="333" t="str">
        <f t="shared" ca="1" si="48"/>
        <v/>
      </c>
      <c r="AB112" s="333" t="str">
        <f t="shared" ca="1" si="49"/>
        <v/>
      </c>
      <c r="AC112" s="333" t="str">
        <f t="shared" ca="1" si="50"/>
        <v/>
      </c>
      <c r="AD112" s="333" t="str">
        <f t="shared" ca="1" si="51"/>
        <v/>
      </c>
      <c r="AE112" s="333" t="str">
        <f t="shared" ca="1" si="52"/>
        <v/>
      </c>
      <c r="AG112" s="333">
        <f ca="1">IF(TYPE(VLOOKUP($A112,'1.kolo'!$L$3:$L$66,1,0))&gt;3,VLOOKUP($A112,'1.kolo'!$K$3:$L$66,2,0),VLOOKUP($A112,'1.kolo'!$L$3:$O$66,4,0))</f>
        <v>51</v>
      </c>
      <c r="AH112" s="333">
        <f ca="1">IF(TYPE(VLOOKUP($A112,'1.kolo'!$L$3:$L$66,1,0))&gt;3,VLOOKUP($A112,'1.kolo'!$O$3:$Q$66,2,0),VLOOKUP($A112,'1.kolo'!$L$3:$N$66,2,0))</f>
        <v>0</v>
      </c>
      <c r="AI112" s="333">
        <f ca="1">IF(TYPE(VLOOKUP($A112,'1.kolo'!$L$3:$L$66,1,0))&gt;3,VLOOKUP($A112,'1.kolo'!$O$3:$Q$66,3,0),VLOOKUP($A112,'1.kolo'!$L$3:$N$66,3,0))</f>
        <v>0</v>
      </c>
      <c r="AJ112" s="333">
        <f t="shared" ca="1" si="53"/>
        <v>0</v>
      </c>
      <c r="AK112" s="333">
        <v>110</v>
      </c>
      <c r="AL112" s="442"/>
      <c r="AP112" s="333" t="str">
        <f ca="1">IF(TYPE(VLOOKUP($A112,'2.kolo'!$L$3:$L$66,1,0))&gt;3,IF(TYPE(VLOOKUP($A112,'2.kolo'!$K$3:$L$66,2,0))&gt;3,0,VLOOKUP($A112,'2.kolo'!$K$3:$L$66,2,0)),VLOOKUP($A112,'2.kolo'!$L$3:$O$66,4,0))</f>
        <v/>
      </c>
      <c r="AQ112" s="333">
        <f ca="1">IF(TYPE(VLOOKUP($A112,'2.kolo'!$L$3:$L$66,1,0))&gt;3,IF(TYPE(VLOOKUP($A112,'2.kolo'!$O$3:$Q$66,2,0))&gt;3,0,VLOOKUP($A112,'2.kolo'!$O$3:$Q$66,2,0)),VLOOKUP($A112,'2.kolo'!$L$3:$N$66,2,0))</f>
        <v>0</v>
      </c>
      <c r="AR112" s="333">
        <f ca="1">IF(TYPE(VLOOKUP($A112,'2.kolo'!$L$3:$L$66,1,0))&gt;3,IF(TYPE(VLOOKUP($A112,'2.kolo'!$O$3:$Q$66,3,0))&gt;3,0,VLOOKUP($A112,'2.kolo'!$O$3:$Q$66,3,0)),VLOOKUP($A112,'2.kolo'!$L$3:$N$66,3,0))</f>
        <v>0</v>
      </c>
      <c r="AS112" s="333">
        <f t="shared" ca="1" si="54"/>
        <v>0</v>
      </c>
      <c r="AT112" s="415" t="s">
        <v>2005</v>
      </c>
      <c r="AU112" s="442" t="str">
        <f ca="1">IF(AT112="","",CONCATENATE(TEXT($O112,"0"),IF(Start.listina!$Y$5="","",TEXT(500+$P112,"000")),TEXT(999999*RAND(),"000000")))</f>
        <v/>
      </c>
      <c r="AV112" s="333">
        <f t="shared" ca="1" si="63"/>
        <v>0</v>
      </c>
      <c r="AY112" s="333" t="str">
        <f ca="1">IF(TYPE(VLOOKUP($A112,'3.kolo'!$L$3:$L$66,1,0))&gt;3,IF(TYPE(VLOOKUP($A112,'3.kolo'!$K$3:$L$66,2,0))&gt;3,0,VLOOKUP($A112,'3.kolo'!$K$3:$L$66,2,0)),VLOOKUP($A112,'3.kolo'!$L$3:$O$66,4,0))</f>
        <v/>
      </c>
      <c r="AZ112" s="333">
        <f ca="1">IF(TYPE(VLOOKUP($A112,'3.kolo'!$L$3:$L$66,1,0))&gt;3,IF(TYPE(VLOOKUP($A112,'3.kolo'!$O$3:$Q$66,2,0))&gt;3,0,VLOOKUP($A112,'3.kolo'!$O$3:$Q$66,2,0)),VLOOKUP($A112,'3.kolo'!$L$3:$N$66,2,0))</f>
        <v>0</v>
      </c>
      <c r="BA112" s="333">
        <f ca="1">IF(TYPE(VLOOKUP($A112,'3.kolo'!$L$3:$L$66,1,0))&gt;3,IF(TYPE(VLOOKUP($A112,'3.kolo'!$O$3:$Q$66,3,0))&gt;3,0,VLOOKUP($A112,'3.kolo'!$O$3:$Q$66,3,0)),VLOOKUP($A112,'3.kolo'!$L$3:$N$66,3,0))</f>
        <v>0</v>
      </c>
      <c r="BB112" s="333">
        <f t="shared" ca="1" si="55"/>
        <v>0</v>
      </c>
      <c r="BC112" s="415" t="s">
        <v>2005</v>
      </c>
      <c r="BD112" s="442" t="str">
        <f ca="1">IF(BC112="","",CONCATENATE(TEXT($O112,"0"),IF(Start.listina!$Y$5="","",TEXT(500+$P112,"000")),TEXT(999999*RAND(),"000000")))</f>
        <v/>
      </c>
      <c r="BE112" s="333">
        <f t="shared" ca="1" si="64"/>
        <v>0</v>
      </c>
      <c r="BH112" s="333" t="str">
        <f ca="1">IF(TYPE(VLOOKUP($A112,'4.kolo'!$L$3:$L$66,1,0))&gt;3,IF(TYPE(VLOOKUP($A112,'4.kolo'!$K$3:$L$66,2,0))&gt;3,0,VLOOKUP($A112,'4.kolo'!$K$3:$L$66,2,0)),VLOOKUP($A112,'4.kolo'!$L$3:$O$66,4,0))</f>
        <v/>
      </c>
      <c r="BI112" s="333">
        <f ca="1">IF(TYPE(VLOOKUP($A112,'4.kolo'!$L$3:$L$66,1,0))&gt;3,IF(TYPE(VLOOKUP($A112,'4.kolo'!$O$3:$Q$66,2,0))&gt;3,0,VLOOKUP($A112,'4.kolo'!$O$3:$Q$66,2,0)),VLOOKUP($A112,'4.kolo'!$L$3:$N$66,2,0))</f>
        <v>0</v>
      </c>
      <c r="BJ112" s="333">
        <f ca="1">IF(TYPE(VLOOKUP($A112,'4.kolo'!$L$3:$L$66,1,0))&gt;3,IF(TYPE(VLOOKUP($A112,'4.kolo'!$O$3:$Q$66,3,0))&gt;3,0,VLOOKUP($A112,'4.kolo'!$O$3:$Q$66,3,0)),VLOOKUP($A112,'4.kolo'!$L$3:$N$66,3,0))</f>
        <v>0</v>
      </c>
      <c r="BK112" s="333">
        <f t="shared" ca="1" si="56"/>
        <v>0</v>
      </c>
      <c r="BL112" s="415" t="s">
        <v>2005</v>
      </c>
      <c r="BM112" s="442" t="str">
        <f ca="1">IF(BL112="","",CONCATENATE(TEXT($O112,"0"),IF(Start.listina!$Y$5="","",TEXT(500+$P112,"000")),TEXT(999999*RAND(),"000000")))</f>
        <v/>
      </c>
      <c r="BN112" s="333">
        <f t="shared" ca="1" si="65"/>
        <v>0</v>
      </c>
      <c r="BQ112" s="333" t="str">
        <f ca="1">IF(TYPE(VLOOKUP($A112,'5.kolo'!$L$3:$L$66,1,0))&gt;3,IF(TYPE(VLOOKUP($A112,'5.kolo'!$K$3:$L$66,2,0))&gt;3,0,VLOOKUP($A112,'5.kolo'!$K$3:$L$66,2,0)),VLOOKUP($A112,'5.kolo'!$L$3:$O$66,4,0))</f>
        <v/>
      </c>
      <c r="BR112" s="333">
        <f ca="1">IF(TYPE(VLOOKUP($A112,'5.kolo'!$L$3:$L$66,1,0))&gt;3,IF(TYPE(VLOOKUP($A112,'5.kolo'!$O$3:$Q$66,2,0))&gt;3,0,VLOOKUP($A112,'5.kolo'!$O$3:$Q$66,2,0)),VLOOKUP($A112,'5.kolo'!$L$3:$N$66,2,0))</f>
        <v>0</v>
      </c>
      <c r="BS112" s="333">
        <f ca="1">IF(TYPE(VLOOKUP($A112,'5.kolo'!$L$3:$L$66,1,0))&gt;3,IF(TYPE(VLOOKUP($A112,'5.kolo'!$O$3:$Q$66,3,0))&gt;3,0,VLOOKUP($A112,'5.kolo'!$O$3:$Q$66,3,0)),VLOOKUP($A112,'5.kolo'!$L$3:$N$66,3,0))</f>
        <v>0</v>
      </c>
      <c r="BT112" s="333">
        <f t="shared" ca="1" si="57"/>
        <v>0</v>
      </c>
      <c r="BU112" s="415"/>
      <c r="BV112" s="442" t="str">
        <f ca="1">IF(BU112="","",CONCATENATE(TEXT($O112,"0"),IF(Start.listina!$Y$5="","",TEXT(500+$P112,"000")),TEXT(999999*RAND(),"000000")))</f>
        <v/>
      </c>
      <c r="BW112" s="333">
        <f t="shared" ca="1" si="66"/>
        <v>0</v>
      </c>
      <c r="BZ112" s="333" t="str">
        <f ca="1">IF(TYPE(VLOOKUP($A112,'6.kolo'!$L$3:$L$66,1,0))&gt;3,IF(TYPE(VLOOKUP($A112,'6.kolo'!$K$3:$L$66,2,0))&gt;3,0,VLOOKUP($A112,'6.kolo'!$K$3:$L$66,2,0)),VLOOKUP($A112,'6.kolo'!$L$3:$O$66,4,0))</f>
        <v/>
      </c>
      <c r="CA112" s="333">
        <f ca="1">IF(TYPE(VLOOKUP($A112,'6.kolo'!$L$3:$L$66,1,0))&gt;3,IF(TYPE(VLOOKUP($A112,'6.kolo'!$O$3:$Q$66,2,0))&gt;3,0,VLOOKUP($A112,'6.kolo'!$O$3:$Q$66,2,0)),VLOOKUP($A112,'6.kolo'!$L$3:$N$66,2,0))</f>
        <v>0</v>
      </c>
      <c r="CB112" s="333">
        <f ca="1">IF(TYPE(VLOOKUP($A112,'6.kolo'!$L$3:$L$66,1,0))&gt;3,IF(TYPE(VLOOKUP($A112,'6.kolo'!$O$3:$Q$66,3,0))&gt;3,0,VLOOKUP($A112,'6.kolo'!$O$3:$Q$66,3,0)),VLOOKUP($A112,'6.kolo'!$L$3:$N$66,3,0))</f>
        <v>0</v>
      </c>
      <c r="CC112" s="333">
        <f t="shared" ca="1" si="58"/>
        <v>0</v>
      </c>
      <c r="CD112" s="415"/>
      <c r="CE112" s="442" t="str">
        <f ca="1">IF(CD112="","",CONCATENATE(TEXT($O112,"0"),IF(Start.listina!$Y$5="","",TEXT(500+$P112,"000")),TEXT(999999*RAND(),"000000")))</f>
        <v/>
      </c>
      <c r="CF112" s="333">
        <f t="shared" ca="1" si="67"/>
        <v>0</v>
      </c>
    </row>
    <row r="113" spans="1:84" x14ac:dyDescent="0.25">
      <c r="A113" s="333" t="str">
        <f>IF(OR(Start.listina!H121&gt;Start.listina!$K$7,Start.listina!G121=TRUE),"",Start.listina!H121)</f>
        <v/>
      </c>
      <c r="B113" s="333" t="str">
        <f>IF($A113&gt;Start.listina!$K$7,"",INT(($A113-1)/Start.listina!$O$7)+1)</f>
        <v/>
      </c>
      <c r="C113" s="439" t="str">
        <f>IF(OR(Start.listina!H121&gt;Start.listina!$K$7,Start.listina!G121=TRUE)," - ",Start.listina!AL121)</f>
        <v xml:space="preserve"> - </v>
      </c>
      <c r="D113" s="333" t="str">
        <f>IF(OR(A113&gt;Start.listina!$K$7,TYPE(VLOOKUP(A113,$V$3:$X$130,3,0))&gt;3),"",VLOOKUP(A113,$V$3:$X$130,3,0))</f>
        <v/>
      </c>
      <c r="E113" s="440" t="str">
        <f>IF(A113&gt;Start.listina!$K$7,"",IF(MIN(F113:K113)&gt;Start.listina!$Y$4,D113,MIN(F113:K113)))</f>
        <v/>
      </c>
      <c r="F113" s="333">
        <f ca="1">IF(TYPE(VLOOKUP(C113,Konečné_pořadí_1_16!$B$2:$D$17,3,0))&lt;4,VLOOKUP(C113,Konečné_pořadí_1_16!$B$2:$D$17,3,0),999)</f>
        <v>999</v>
      </c>
      <c r="G113" s="333">
        <f ca="1">IF(TYPE(VLOOKUP(C113,'KO64'!$D$4:$D$129,1,0))&lt;4,64,999)</f>
        <v>64</v>
      </c>
      <c r="H113" s="333">
        <f ca="1">IF(TYPE(VLOOKUP(C113,'KO32'!$D$4:$D$65,1,0))&lt;4,32,999)</f>
        <v>32</v>
      </c>
      <c r="I113" s="333">
        <f ca="1">IF(TYPE(VLOOKUP(C113,'KO16'!$D$4:$D$33,1,0))&lt;4,16,999)</f>
        <v>999</v>
      </c>
      <c r="J113" s="333">
        <f ca="1">IF(TYPE(VLOOKUP(C113,'KO8'!$D$4:$D$17,1,0))&lt;4,8,999)</f>
        <v>999</v>
      </c>
      <c r="K113" s="333">
        <f ca="1">IF(TYPE(VLOOKUP(C113,'KO4'!$D$4:$D$9,1,0))&lt;4,4,999)</f>
        <v>999</v>
      </c>
      <c r="M113" s="334">
        <v>111</v>
      </c>
      <c r="O113" s="333">
        <f t="shared" ca="1" si="42"/>
        <v>0</v>
      </c>
      <c r="P113" s="333">
        <f t="shared" ca="1" si="43"/>
        <v>0</v>
      </c>
      <c r="Q113" s="333">
        <f t="shared" ca="1" si="60"/>
        <v>2</v>
      </c>
      <c r="R113" s="333">
        <f t="shared" ca="1" si="61"/>
        <v>0</v>
      </c>
      <c r="S113" s="333">
        <f t="shared" ca="1" si="44"/>
        <v>16</v>
      </c>
      <c r="T113" s="333">
        <f t="shared" ca="1" si="45"/>
        <v>0</v>
      </c>
      <c r="U113" s="415">
        <f t="shared" si="59"/>
        <v>111</v>
      </c>
      <c r="V113" s="415" t="s">
        <v>2005</v>
      </c>
      <c r="W113" s="441" t="str">
        <f ca="1">IF($V113="","",CONCATENATE(TEXT($O113,"0"),IF(Start.listina!$Y$5="","",TEXT(500+$P113,"0000")),IF(Start.listina!$Y$6="","",CHOOSE(Start.listina!$Y$7,TEXT($Q113,"00"),CONCATENATE(TEXT($Q113,"00"),TEXT($S113,"000")), TEXT($R113,"00"))),TEXT(500+$P113,"0000"),IF(Start.listina!$Y$8="","",TEXT($T113,"0")),TEXT(999999*RAND(),"000000")))</f>
        <v/>
      </c>
      <c r="X113" s="417">
        <f t="shared" si="46"/>
        <v>111</v>
      </c>
      <c r="Y113" s="415">
        <f t="shared" ca="1" si="62"/>
        <v>0</v>
      </c>
      <c r="Z113" s="333">
        <f t="shared" ca="1" si="47"/>
        <v>51</v>
      </c>
      <c r="AA113" s="333" t="str">
        <f t="shared" ca="1" si="48"/>
        <v/>
      </c>
      <c r="AB113" s="333" t="str">
        <f t="shared" ca="1" si="49"/>
        <v/>
      </c>
      <c r="AC113" s="333" t="str">
        <f t="shared" ca="1" si="50"/>
        <v/>
      </c>
      <c r="AD113" s="333" t="str">
        <f t="shared" ca="1" si="51"/>
        <v/>
      </c>
      <c r="AE113" s="333" t="str">
        <f t="shared" ca="1" si="52"/>
        <v/>
      </c>
      <c r="AG113" s="333">
        <f ca="1">IF(TYPE(VLOOKUP($A113,'1.kolo'!$L$3:$L$66,1,0))&gt;3,VLOOKUP($A113,'1.kolo'!$K$3:$L$66,2,0),VLOOKUP($A113,'1.kolo'!$L$3:$O$66,4,0))</f>
        <v>51</v>
      </c>
      <c r="AH113" s="333">
        <f ca="1">IF(TYPE(VLOOKUP($A113,'1.kolo'!$L$3:$L$66,1,0))&gt;3,VLOOKUP($A113,'1.kolo'!$O$3:$Q$66,2,0),VLOOKUP($A113,'1.kolo'!$L$3:$N$66,2,0))</f>
        <v>0</v>
      </c>
      <c r="AI113" s="333">
        <f ca="1">IF(TYPE(VLOOKUP($A113,'1.kolo'!$L$3:$L$66,1,0))&gt;3,VLOOKUP($A113,'1.kolo'!$O$3:$Q$66,3,0),VLOOKUP($A113,'1.kolo'!$L$3:$N$66,3,0))</f>
        <v>0</v>
      </c>
      <c r="AJ113" s="333">
        <f t="shared" ca="1" si="53"/>
        <v>0</v>
      </c>
      <c r="AK113" s="333">
        <v>111</v>
      </c>
      <c r="AL113" s="442"/>
      <c r="AP113" s="333" t="str">
        <f ca="1">IF(TYPE(VLOOKUP($A113,'2.kolo'!$L$3:$L$66,1,0))&gt;3,IF(TYPE(VLOOKUP($A113,'2.kolo'!$K$3:$L$66,2,0))&gt;3,0,VLOOKUP($A113,'2.kolo'!$K$3:$L$66,2,0)),VLOOKUP($A113,'2.kolo'!$L$3:$O$66,4,0))</f>
        <v/>
      </c>
      <c r="AQ113" s="333">
        <f ca="1">IF(TYPE(VLOOKUP($A113,'2.kolo'!$L$3:$L$66,1,0))&gt;3,IF(TYPE(VLOOKUP($A113,'2.kolo'!$O$3:$Q$66,2,0))&gt;3,0,VLOOKUP($A113,'2.kolo'!$O$3:$Q$66,2,0)),VLOOKUP($A113,'2.kolo'!$L$3:$N$66,2,0))</f>
        <v>0</v>
      </c>
      <c r="AR113" s="333">
        <f ca="1">IF(TYPE(VLOOKUP($A113,'2.kolo'!$L$3:$L$66,1,0))&gt;3,IF(TYPE(VLOOKUP($A113,'2.kolo'!$O$3:$Q$66,3,0))&gt;3,0,VLOOKUP($A113,'2.kolo'!$O$3:$Q$66,3,0)),VLOOKUP($A113,'2.kolo'!$L$3:$N$66,3,0))</f>
        <v>0</v>
      </c>
      <c r="AS113" s="333">
        <f t="shared" ca="1" si="54"/>
        <v>0</v>
      </c>
      <c r="AT113" s="415" t="s">
        <v>2005</v>
      </c>
      <c r="AU113" s="442" t="str">
        <f ca="1">IF(AT113="","",CONCATENATE(TEXT($O113,"0"),IF(Start.listina!$Y$5="","",TEXT(500+$P113,"000")),TEXT(999999*RAND(),"000000")))</f>
        <v/>
      </c>
      <c r="AV113" s="333">
        <f t="shared" ca="1" si="63"/>
        <v>0</v>
      </c>
      <c r="AY113" s="333" t="str">
        <f ca="1">IF(TYPE(VLOOKUP($A113,'3.kolo'!$L$3:$L$66,1,0))&gt;3,IF(TYPE(VLOOKUP($A113,'3.kolo'!$K$3:$L$66,2,0))&gt;3,0,VLOOKUP($A113,'3.kolo'!$K$3:$L$66,2,0)),VLOOKUP($A113,'3.kolo'!$L$3:$O$66,4,0))</f>
        <v/>
      </c>
      <c r="AZ113" s="333">
        <f ca="1">IF(TYPE(VLOOKUP($A113,'3.kolo'!$L$3:$L$66,1,0))&gt;3,IF(TYPE(VLOOKUP($A113,'3.kolo'!$O$3:$Q$66,2,0))&gt;3,0,VLOOKUP($A113,'3.kolo'!$O$3:$Q$66,2,0)),VLOOKUP($A113,'3.kolo'!$L$3:$N$66,2,0))</f>
        <v>0</v>
      </c>
      <c r="BA113" s="333">
        <f ca="1">IF(TYPE(VLOOKUP($A113,'3.kolo'!$L$3:$L$66,1,0))&gt;3,IF(TYPE(VLOOKUP($A113,'3.kolo'!$O$3:$Q$66,3,0))&gt;3,0,VLOOKUP($A113,'3.kolo'!$O$3:$Q$66,3,0)),VLOOKUP($A113,'3.kolo'!$L$3:$N$66,3,0))</f>
        <v>0</v>
      </c>
      <c r="BB113" s="333">
        <f t="shared" ca="1" si="55"/>
        <v>0</v>
      </c>
      <c r="BC113" s="415" t="s">
        <v>2005</v>
      </c>
      <c r="BD113" s="442" t="str">
        <f ca="1">IF(BC113="","",CONCATENATE(TEXT($O113,"0"),IF(Start.listina!$Y$5="","",TEXT(500+$P113,"000")),TEXT(999999*RAND(),"000000")))</f>
        <v/>
      </c>
      <c r="BE113" s="333">
        <f t="shared" ca="1" si="64"/>
        <v>0</v>
      </c>
      <c r="BH113" s="333" t="str">
        <f ca="1">IF(TYPE(VLOOKUP($A113,'4.kolo'!$L$3:$L$66,1,0))&gt;3,IF(TYPE(VLOOKUP($A113,'4.kolo'!$K$3:$L$66,2,0))&gt;3,0,VLOOKUP($A113,'4.kolo'!$K$3:$L$66,2,0)),VLOOKUP($A113,'4.kolo'!$L$3:$O$66,4,0))</f>
        <v/>
      </c>
      <c r="BI113" s="333">
        <f ca="1">IF(TYPE(VLOOKUP($A113,'4.kolo'!$L$3:$L$66,1,0))&gt;3,IF(TYPE(VLOOKUP($A113,'4.kolo'!$O$3:$Q$66,2,0))&gt;3,0,VLOOKUP($A113,'4.kolo'!$O$3:$Q$66,2,0)),VLOOKUP($A113,'4.kolo'!$L$3:$N$66,2,0))</f>
        <v>0</v>
      </c>
      <c r="BJ113" s="333">
        <f ca="1">IF(TYPE(VLOOKUP($A113,'4.kolo'!$L$3:$L$66,1,0))&gt;3,IF(TYPE(VLOOKUP($A113,'4.kolo'!$O$3:$Q$66,3,0))&gt;3,0,VLOOKUP($A113,'4.kolo'!$O$3:$Q$66,3,0)),VLOOKUP($A113,'4.kolo'!$L$3:$N$66,3,0))</f>
        <v>0</v>
      </c>
      <c r="BK113" s="333">
        <f t="shared" ca="1" si="56"/>
        <v>0</v>
      </c>
      <c r="BL113" s="415" t="s">
        <v>2005</v>
      </c>
      <c r="BM113" s="442" t="str">
        <f ca="1">IF(BL113="","",CONCATENATE(TEXT($O113,"0"),IF(Start.listina!$Y$5="","",TEXT(500+$P113,"000")),TEXT(999999*RAND(),"000000")))</f>
        <v/>
      </c>
      <c r="BN113" s="333">
        <f t="shared" ca="1" si="65"/>
        <v>0</v>
      </c>
      <c r="BQ113" s="333" t="str">
        <f ca="1">IF(TYPE(VLOOKUP($A113,'5.kolo'!$L$3:$L$66,1,0))&gt;3,IF(TYPE(VLOOKUP($A113,'5.kolo'!$K$3:$L$66,2,0))&gt;3,0,VLOOKUP($A113,'5.kolo'!$K$3:$L$66,2,0)),VLOOKUP($A113,'5.kolo'!$L$3:$O$66,4,0))</f>
        <v/>
      </c>
      <c r="BR113" s="333">
        <f ca="1">IF(TYPE(VLOOKUP($A113,'5.kolo'!$L$3:$L$66,1,0))&gt;3,IF(TYPE(VLOOKUP($A113,'5.kolo'!$O$3:$Q$66,2,0))&gt;3,0,VLOOKUP($A113,'5.kolo'!$O$3:$Q$66,2,0)),VLOOKUP($A113,'5.kolo'!$L$3:$N$66,2,0))</f>
        <v>0</v>
      </c>
      <c r="BS113" s="333">
        <f ca="1">IF(TYPE(VLOOKUP($A113,'5.kolo'!$L$3:$L$66,1,0))&gt;3,IF(TYPE(VLOOKUP($A113,'5.kolo'!$O$3:$Q$66,3,0))&gt;3,0,VLOOKUP($A113,'5.kolo'!$O$3:$Q$66,3,0)),VLOOKUP($A113,'5.kolo'!$L$3:$N$66,3,0))</f>
        <v>0</v>
      </c>
      <c r="BT113" s="333">
        <f t="shared" ca="1" si="57"/>
        <v>0</v>
      </c>
      <c r="BU113" s="415"/>
      <c r="BV113" s="442" t="str">
        <f ca="1">IF(BU113="","",CONCATENATE(TEXT($O113,"0"),IF(Start.listina!$Y$5="","",TEXT(500+$P113,"000")),TEXT(999999*RAND(),"000000")))</f>
        <v/>
      </c>
      <c r="BW113" s="333">
        <f t="shared" ca="1" si="66"/>
        <v>0</v>
      </c>
      <c r="BZ113" s="333" t="str">
        <f ca="1">IF(TYPE(VLOOKUP($A113,'6.kolo'!$L$3:$L$66,1,0))&gt;3,IF(TYPE(VLOOKUP($A113,'6.kolo'!$K$3:$L$66,2,0))&gt;3,0,VLOOKUP($A113,'6.kolo'!$K$3:$L$66,2,0)),VLOOKUP($A113,'6.kolo'!$L$3:$O$66,4,0))</f>
        <v/>
      </c>
      <c r="CA113" s="333">
        <f ca="1">IF(TYPE(VLOOKUP($A113,'6.kolo'!$L$3:$L$66,1,0))&gt;3,IF(TYPE(VLOOKUP($A113,'6.kolo'!$O$3:$Q$66,2,0))&gt;3,0,VLOOKUP($A113,'6.kolo'!$O$3:$Q$66,2,0)),VLOOKUP($A113,'6.kolo'!$L$3:$N$66,2,0))</f>
        <v>0</v>
      </c>
      <c r="CB113" s="333">
        <f ca="1">IF(TYPE(VLOOKUP($A113,'6.kolo'!$L$3:$L$66,1,0))&gt;3,IF(TYPE(VLOOKUP($A113,'6.kolo'!$O$3:$Q$66,3,0))&gt;3,0,VLOOKUP($A113,'6.kolo'!$O$3:$Q$66,3,0)),VLOOKUP($A113,'6.kolo'!$L$3:$N$66,3,0))</f>
        <v>0</v>
      </c>
      <c r="CC113" s="333">
        <f t="shared" ca="1" si="58"/>
        <v>0</v>
      </c>
      <c r="CD113" s="415"/>
      <c r="CE113" s="442" t="str">
        <f ca="1">IF(CD113="","",CONCATENATE(TEXT($O113,"0"),IF(Start.listina!$Y$5="","",TEXT(500+$P113,"000")),TEXT(999999*RAND(),"000000")))</f>
        <v/>
      </c>
      <c r="CF113" s="333">
        <f t="shared" ca="1" si="67"/>
        <v>0</v>
      </c>
    </row>
    <row r="114" spans="1:84" x14ac:dyDescent="0.25">
      <c r="A114" s="333" t="str">
        <f>IF(OR(Start.listina!H122&gt;Start.listina!$K$7,Start.listina!G122=TRUE),"",Start.listina!H122)</f>
        <v/>
      </c>
      <c r="B114" s="333" t="str">
        <f>IF($A114&gt;Start.listina!$K$7,"",INT(($A114-1)/Start.listina!$O$7)+1)</f>
        <v/>
      </c>
      <c r="C114" s="439" t="str">
        <f>IF(OR(Start.listina!H122&gt;Start.listina!$K$7,Start.listina!G122=TRUE)," - ",Start.listina!AL122)</f>
        <v xml:space="preserve"> - </v>
      </c>
      <c r="D114" s="333" t="str">
        <f>IF(OR(A114&gt;Start.listina!$K$7,TYPE(VLOOKUP(A114,$V$3:$X$130,3,0))&gt;3),"",VLOOKUP(A114,$V$3:$X$130,3,0))</f>
        <v/>
      </c>
      <c r="E114" s="440" t="str">
        <f>IF(A114&gt;Start.listina!$K$7,"",IF(MIN(F114:K114)&gt;Start.listina!$Y$4,D114,MIN(F114:K114)))</f>
        <v/>
      </c>
      <c r="F114" s="333">
        <f ca="1">IF(TYPE(VLOOKUP(C114,Konečné_pořadí_1_16!$B$2:$D$17,3,0))&lt;4,VLOOKUP(C114,Konečné_pořadí_1_16!$B$2:$D$17,3,0),999)</f>
        <v>999</v>
      </c>
      <c r="G114" s="333">
        <f ca="1">IF(TYPE(VLOOKUP(C114,'KO64'!$D$4:$D$129,1,0))&lt;4,64,999)</f>
        <v>64</v>
      </c>
      <c r="H114" s="333">
        <f ca="1">IF(TYPE(VLOOKUP(C114,'KO32'!$D$4:$D$65,1,0))&lt;4,32,999)</f>
        <v>32</v>
      </c>
      <c r="I114" s="333">
        <f ca="1">IF(TYPE(VLOOKUP(C114,'KO16'!$D$4:$D$33,1,0))&lt;4,16,999)</f>
        <v>999</v>
      </c>
      <c r="J114" s="333">
        <f ca="1">IF(TYPE(VLOOKUP(C114,'KO8'!$D$4:$D$17,1,0))&lt;4,8,999)</f>
        <v>999</v>
      </c>
      <c r="K114" s="333">
        <f ca="1">IF(TYPE(VLOOKUP(C114,'KO4'!$D$4:$D$9,1,0))&lt;4,4,999)</f>
        <v>999</v>
      </c>
      <c r="M114" s="334">
        <v>112</v>
      </c>
      <c r="O114" s="333">
        <f t="shared" ca="1" si="42"/>
        <v>0</v>
      </c>
      <c r="P114" s="333">
        <f t="shared" ca="1" si="43"/>
        <v>0</v>
      </c>
      <c r="Q114" s="333">
        <f t="shared" ca="1" si="60"/>
        <v>2</v>
      </c>
      <c r="R114" s="333">
        <f t="shared" ca="1" si="61"/>
        <v>0</v>
      </c>
      <c r="S114" s="333">
        <f t="shared" ca="1" si="44"/>
        <v>16</v>
      </c>
      <c r="T114" s="333">
        <f t="shared" ca="1" si="45"/>
        <v>0</v>
      </c>
      <c r="U114" s="415">
        <f t="shared" si="59"/>
        <v>112</v>
      </c>
      <c r="V114" s="415" t="s">
        <v>2005</v>
      </c>
      <c r="W114" s="441" t="str">
        <f ca="1">IF($V114="","",CONCATENATE(TEXT($O114,"0"),IF(Start.listina!$Y$5="","",TEXT(500+$P114,"0000")),IF(Start.listina!$Y$6="","",CHOOSE(Start.listina!$Y$7,TEXT($Q114,"00"),CONCATENATE(TEXT($Q114,"00"),TEXT($S114,"000")), TEXT($R114,"00"))),TEXT(500+$P114,"0000"),IF(Start.listina!$Y$8="","",TEXT($T114,"0")),TEXT(999999*RAND(),"000000")))</f>
        <v/>
      </c>
      <c r="X114" s="417">
        <f t="shared" si="46"/>
        <v>112</v>
      </c>
      <c r="Y114" s="415">
        <f t="shared" ca="1" si="62"/>
        <v>0</v>
      </c>
      <c r="Z114" s="333">
        <f t="shared" ca="1" si="47"/>
        <v>51</v>
      </c>
      <c r="AA114" s="333" t="str">
        <f t="shared" ca="1" si="48"/>
        <v/>
      </c>
      <c r="AB114" s="333" t="str">
        <f t="shared" ca="1" si="49"/>
        <v/>
      </c>
      <c r="AC114" s="333" t="str">
        <f t="shared" ca="1" si="50"/>
        <v/>
      </c>
      <c r="AD114" s="333" t="str">
        <f t="shared" ca="1" si="51"/>
        <v/>
      </c>
      <c r="AE114" s="333" t="str">
        <f t="shared" ca="1" si="52"/>
        <v/>
      </c>
      <c r="AG114" s="333">
        <f ca="1">IF(TYPE(VLOOKUP($A114,'1.kolo'!$L$3:$L$66,1,0))&gt;3,VLOOKUP($A114,'1.kolo'!$K$3:$L$66,2,0),VLOOKUP($A114,'1.kolo'!$L$3:$O$66,4,0))</f>
        <v>51</v>
      </c>
      <c r="AH114" s="333">
        <f ca="1">IF(TYPE(VLOOKUP($A114,'1.kolo'!$L$3:$L$66,1,0))&gt;3,VLOOKUP($A114,'1.kolo'!$O$3:$Q$66,2,0),VLOOKUP($A114,'1.kolo'!$L$3:$N$66,2,0))</f>
        <v>0</v>
      </c>
      <c r="AI114" s="333">
        <f ca="1">IF(TYPE(VLOOKUP($A114,'1.kolo'!$L$3:$L$66,1,0))&gt;3,VLOOKUP($A114,'1.kolo'!$O$3:$Q$66,3,0),VLOOKUP($A114,'1.kolo'!$L$3:$N$66,3,0))</f>
        <v>0</v>
      </c>
      <c r="AJ114" s="333">
        <f t="shared" ca="1" si="53"/>
        <v>0</v>
      </c>
      <c r="AK114" s="333">
        <v>112</v>
      </c>
      <c r="AL114" s="442"/>
      <c r="AP114" s="333" t="str">
        <f ca="1">IF(TYPE(VLOOKUP($A114,'2.kolo'!$L$3:$L$66,1,0))&gt;3,IF(TYPE(VLOOKUP($A114,'2.kolo'!$K$3:$L$66,2,0))&gt;3,0,VLOOKUP($A114,'2.kolo'!$K$3:$L$66,2,0)),VLOOKUP($A114,'2.kolo'!$L$3:$O$66,4,0))</f>
        <v/>
      </c>
      <c r="AQ114" s="333">
        <f ca="1">IF(TYPE(VLOOKUP($A114,'2.kolo'!$L$3:$L$66,1,0))&gt;3,IF(TYPE(VLOOKUP($A114,'2.kolo'!$O$3:$Q$66,2,0))&gt;3,0,VLOOKUP($A114,'2.kolo'!$O$3:$Q$66,2,0)),VLOOKUP($A114,'2.kolo'!$L$3:$N$66,2,0))</f>
        <v>0</v>
      </c>
      <c r="AR114" s="333">
        <f ca="1">IF(TYPE(VLOOKUP($A114,'2.kolo'!$L$3:$L$66,1,0))&gt;3,IF(TYPE(VLOOKUP($A114,'2.kolo'!$O$3:$Q$66,3,0))&gt;3,0,VLOOKUP($A114,'2.kolo'!$O$3:$Q$66,3,0)),VLOOKUP($A114,'2.kolo'!$L$3:$N$66,3,0))</f>
        <v>0</v>
      </c>
      <c r="AS114" s="333">
        <f t="shared" ca="1" si="54"/>
        <v>0</v>
      </c>
      <c r="AT114" s="415" t="s">
        <v>2005</v>
      </c>
      <c r="AU114" s="442" t="str">
        <f ca="1">IF(AT114="","",CONCATENATE(TEXT($O114,"0"),IF(Start.listina!$Y$5="","",TEXT(500+$P114,"000")),TEXT(999999*RAND(),"000000")))</f>
        <v/>
      </c>
      <c r="AV114" s="333">
        <f t="shared" ca="1" si="63"/>
        <v>0</v>
      </c>
      <c r="AY114" s="333" t="str">
        <f ca="1">IF(TYPE(VLOOKUP($A114,'3.kolo'!$L$3:$L$66,1,0))&gt;3,IF(TYPE(VLOOKUP($A114,'3.kolo'!$K$3:$L$66,2,0))&gt;3,0,VLOOKUP($A114,'3.kolo'!$K$3:$L$66,2,0)),VLOOKUP($A114,'3.kolo'!$L$3:$O$66,4,0))</f>
        <v/>
      </c>
      <c r="AZ114" s="333">
        <f ca="1">IF(TYPE(VLOOKUP($A114,'3.kolo'!$L$3:$L$66,1,0))&gt;3,IF(TYPE(VLOOKUP($A114,'3.kolo'!$O$3:$Q$66,2,0))&gt;3,0,VLOOKUP($A114,'3.kolo'!$O$3:$Q$66,2,0)),VLOOKUP($A114,'3.kolo'!$L$3:$N$66,2,0))</f>
        <v>0</v>
      </c>
      <c r="BA114" s="333">
        <f ca="1">IF(TYPE(VLOOKUP($A114,'3.kolo'!$L$3:$L$66,1,0))&gt;3,IF(TYPE(VLOOKUP($A114,'3.kolo'!$O$3:$Q$66,3,0))&gt;3,0,VLOOKUP($A114,'3.kolo'!$O$3:$Q$66,3,0)),VLOOKUP($A114,'3.kolo'!$L$3:$N$66,3,0))</f>
        <v>0</v>
      </c>
      <c r="BB114" s="333">
        <f t="shared" ca="1" si="55"/>
        <v>0</v>
      </c>
      <c r="BC114" s="415" t="s">
        <v>2005</v>
      </c>
      <c r="BD114" s="442" t="str">
        <f ca="1">IF(BC114="","",CONCATENATE(TEXT($O114,"0"),IF(Start.listina!$Y$5="","",TEXT(500+$P114,"000")),TEXT(999999*RAND(),"000000")))</f>
        <v/>
      </c>
      <c r="BE114" s="333">
        <f t="shared" ca="1" si="64"/>
        <v>0</v>
      </c>
      <c r="BH114" s="333" t="str">
        <f ca="1">IF(TYPE(VLOOKUP($A114,'4.kolo'!$L$3:$L$66,1,0))&gt;3,IF(TYPE(VLOOKUP($A114,'4.kolo'!$K$3:$L$66,2,0))&gt;3,0,VLOOKUP($A114,'4.kolo'!$K$3:$L$66,2,0)),VLOOKUP($A114,'4.kolo'!$L$3:$O$66,4,0))</f>
        <v/>
      </c>
      <c r="BI114" s="333">
        <f ca="1">IF(TYPE(VLOOKUP($A114,'4.kolo'!$L$3:$L$66,1,0))&gt;3,IF(TYPE(VLOOKUP($A114,'4.kolo'!$O$3:$Q$66,2,0))&gt;3,0,VLOOKUP($A114,'4.kolo'!$O$3:$Q$66,2,0)),VLOOKUP($A114,'4.kolo'!$L$3:$N$66,2,0))</f>
        <v>0</v>
      </c>
      <c r="BJ114" s="333">
        <f ca="1">IF(TYPE(VLOOKUP($A114,'4.kolo'!$L$3:$L$66,1,0))&gt;3,IF(TYPE(VLOOKUP($A114,'4.kolo'!$O$3:$Q$66,3,0))&gt;3,0,VLOOKUP($A114,'4.kolo'!$O$3:$Q$66,3,0)),VLOOKUP($A114,'4.kolo'!$L$3:$N$66,3,0))</f>
        <v>0</v>
      </c>
      <c r="BK114" s="333">
        <f t="shared" ca="1" si="56"/>
        <v>0</v>
      </c>
      <c r="BL114" s="415" t="s">
        <v>2005</v>
      </c>
      <c r="BM114" s="442" t="str">
        <f ca="1">IF(BL114="","",CONCATENATE(TEXT($O114,"0"),IF(Start.listina!$Y$5="","",TEXT(500+$P114,"000")),TEXT(999999*RAND(),"000000")))</f>
        <v/>
      </c>
      <c r="BN114" s="333">
        <f t="shared" ca="1" si="65"/>
        <v>0</v>
      </c>
      <c r="BQ114" s="333" t="str">
        <f ca="1">IF(TYPE(VLOOKUP($A114,'5.kolo'!$L$3:$L$66,1,0))&gt;3,IF(TYPE(VLOOKUP($A114,'5.kolo'!$K$3:$L$66,2,0))&gt;3,0,VLOOKUP($A114,'5.kolo'!$K$3:$L$66,2,0)),VLOOKUP($A114,'5.kolo'!$L$3:$O$66,4,0))</f>
        <v/>
      </c>
      <c r="BR114" s="333">
        <f ca="1">IF(TYPE(VLOOKUP($A114,'5.kolo'!$L$3:$L$66,1,0))&gt;3,IF(TYPE(VLOOKUP($A114,'5.kolo'!$O$3:$Q$66,2,0))&gt;3,0,VLOOKUP($A114,'5.kolo'!$O$3:$Q$66,2,0)),VLOOKUP($A114,'5.kolo'!$L$3:$N$66,2,0))</f>
        <v>0</v>
      </c>
      <c r="BS114" s="333">
        <f ca="1">IF(TYPE(VLOOKUP($A114,'5.kolo'!$L$3:$L$66,1,0))&gt;3,IF(TYPE(VLOOKUP($A114,'5.kolo'!$O$3:$Q$66,3,0))&gt;3,0,VLOOKUP($A114,'5.kolo'!$O$3:$Q$66,3,0)),VLOOKUP($A114,'5.kolo'!$L$3:$N$66,3,0))</f>
        <v>0</v>
      </c>
      <c r="BT114" s="333">
        <f t="shared" ca="1" si="57"/>
        <v>0</v>
      </c>
      <c r="BU114" s="415"/>
      <c r="BV114" s="442" t="str">
        <f ca="1">IF(BU114="","",CONCATENATE(TEXT($O114,"0"),IF(Start.listina!$Y$5="","",TEXT(500+$P114,"000")),TEXT(999999*RAND(),"000000")))</f>
        <v/>
      </c>
      <c r="BW114" s="333">
        <f t="shared" ca="1" si="66"/>
        <v>0</v>
      </c>
      <c r="BZ114" s="333" t="str">
        <f ca="1">IF(TYPE(VLOOKUP($A114,'6.kolo'!$L$3:$L$66,1,0))&gt;3,IF(TYPE(VLOOKUP($A114,'6.kolo'!$K$3:$L$66,2,0))&gt;3,0,VLOOKUP($A114,'6.kolo'!$K$3:$L$66,2,0)),VLOOKUP($A114,'6.kolo'!$L$3:$O$66,4,0))</f>
        <v/>
      </c>
      <c r="CA114" s="333">
        <f ca="1">IF(TYPE(VLOOKUP($A114,'6.kolo'!$L$3:$L$66,1,0))&gt;3,IF(TYPE(VLOOKUP($A114,'6.kolo'!$O$3:$Q$66,2,0))&gt;3,0,VLOOKUP($A114,'6.kolo'!$O$3:$Q$66,2,0)),VLOOKUP($A114,'6.kolo'!$L$3:$N$66,2,0))</f>
        <v>0</v>
      </c>
      <c r="CB114" s="333">
        <f ca="1">IF(TYPE(VLOOKUP($A114,'6.kolo'!$L$3:$L$66,1,0))&gt;3,IF(TYPE(VLOOKUP($A114,'6.kolo'!$O$3:$Q$66,3,0))&gt;3,0,VLOOKUP($A114,'6.kolo'!$O$3:$Q$66,3,0)),VLOOKUP($A114,'6.kolo'!$L$3:$N$66,3,0))</f>
        <v>0</v>
      </c>
      <c r="CC114" s="333">
        <f t="shared" ca="1" si="58"/>
        <v>0</v>
      </c>
      <c r="CD114" s="415"/>
      <c r="CE114" s="442" t="str">
        <f ca="1">IF(CD114="","",CONCATENATE(TEXT($O114,"0"),IF(Start.listina!$Y$5="","",TEXT(500+$P114,"000")),TEXT(999999*RAND(),"000000")))</f>
        <v/>
      </c>
      <c r="CF114" s="333">
        <f t="shared" ca="1" si="67"/>
        <v>0</v>
      </c>
    </row>
    <row r="115" spans="1:84" x14ac:dyDescent="0.25">
      <c r="A115" s="333" t="str">
        <f>IF(OR(Start.listina!H123&gt;Start.listina!$K$7,Start.listina!G123=TRUE),"",Start.listina!H123)</f>
        <v/>
      </c>
      <c r="B115" s="333" t="str">
        <f>IF($A115&gt;Start.listina!$K$7,"",INT(($A115-1)/Start.listina!$O$7)+1)</f>
        <v/>
      </c>
      <c r="C115" s="439" t="str">
        <f>IF(OR(Start.listina!H123&gt;Start.listina!$K$7,Start.listina!G123=TRUE)," - ",Start.listina!AL123)</f>
        <v xml:space="preserve"> - </v>
      </c>
      <c r="D115" s="333" t="str">
        <f>IF(OR(A115&gt;Start.listina!$K$7,TYPE(VLOOKUP(A115,$V$3:$X$130,3,0))&gt;3),"",VLOOKUP(A115,$V$3:$X$130,3,0))</f>
        <v/>
      </c>
      <c r="E115" s="440" t="str">
        <f>IF(A115&gt;Start.listina!$K$7,"",IF(MIN(F115:K115)&gt;Start.listina!$Y$4,D115,MIN(F115:K115)))</f>
        <v/>
      </c>
      <c r="F115" s="333">
        <f ca="1">IF(TYPE(VLOOKUP(C115,Konečné_pořadí_1_16!$B$2:$D$17,3,0))&lt;4,VLOOKUP(C115,Konečné_pořadí_1_16!$B$2:$D$17,3,0),999)</f>
        <v>999</v>
      </c>
      <c r="G115" s="333">
        <f ca="1">IF(TYPE(VLOOKUP(C115,'KO64'!$D$4:$D$129,1,0))&lt;4,64,999)</f>
        <v>64</v>
      </c>
      <c r="H115" s="333">
        <f ca="1">IF(TYPE(VLOOKUP(C115,'KO32'!$D$4:$D$65,1,0))&lt;4,32,999)</f>
        <v>32</v>
      </c>
      <c r="I115" s="333">
        <f ca="1">IF(TYPE(VLOOKUP(C115,'KO16'!$D$4:$D$33,1,0))&lt;4,16,999)</f>
        <v>999</v>
      </c>
      <c r="J115" s="333">
        <f ca="1">IF(TYPE(VLOOKUP(C115,'KO8'!$D$4:$D$17,1,0))&lt;4,8,999)</f>
        <v>999</v>
      </c>
      <c r="K115" s="333">
        <f ca="1">IF(TYPE(VLOOKUP(C115,'KO4'!$D$4:$D$9,1,0))&lt;4,4,999)</f>
        <v>999</v>
      </c>
      <c r="M115" s="334">
        <v>113</v>
      </c>
      <c r="O115" s="333">
        <f t="shared" ca="1" si="42"/>
        <v>0</v>
      </c>
      <c r="P115" s="333">
        <f t="shared" ca="1" si="43"/>
        <v>0</v>
      </c>
      <c r="Q115" s="333">
        <f t="shared" ca="1" si="60"/>
        <v>2</v>
      </c>
      <c r="R115" s="333">
        <f t="shared" ca="1" si="61"/>
        <v>0</v>
      </c>
      <c r="S115" s="333">
        <f t="shared" ca="1" si="44"/>
        <v>16</v>
      </c>
      <c r="T115" s="333">
        <f t="shared" ca="1" si="45"/>
        <v>0</v>
      </c>
      <c r="U115" s="415">
        <f t="shared" si="59"/>
        <v>113</v>
      </c>
      <c r="V115" s="415" t="s">
        <v>2005</v>
      </c>
      <c r="W115" s="441" t="str">
        <f ca="1">IF($V115="","",CONCATENATE(TEXT($O115,"0"),IF(Start.listina!$Y$5="","",TEXT(500+$P115,"0000")),IF(Start.listina!$Y$6="","",CHOOSE(Start.listina!$Y$7,TEXT($Q115,"00"),CONCATENATE(TEXT($Q115,"00"),TEXT($S115,"000")), TEXT($R115,"00"))),TEXT(500+$P115,"0000"),IF(Start.listina!$Y$8="","",TEXT($T115,"0")),TEXT(999999*RAND(),"000000")))</f>
        <v/>
      </c>
      <c r="X115" s="417">
        <f t="shared" si="46"/>
        <v>113</v>
      </c>
      <c r="Y115" s="415">
        <f t="shared" ca="1" si="62"/>
        <v>0</v>
      </c>
      <c r="Z115" s="333">
        <f t="shared" ca="1" si="47"/>
        <v>51</v>
      </c>
      <c r="AA115" s="333" t="str">
        <f t="shared" ca="1" si="48"/>
        <v/>
      </c>
      <c r="AB115" s="333" t="str">
        <f t="shared" ca="1" si="49"/>
        <v/>
      </c>
      <c r="AC115" s="333" t="str">
        <f t="shared" ca="1" si="50"/>
        <v/>
      </c>
      <c r="AD115" s="333" t="str">
        <f t="shared" ca="1" si="51"/>
        <v/>
      </c>
      <c r="AE115" s="333" t="str">
        <f t="shared" ca="1" si="52"/>
        <v/>
      </c>
      <c r="AG115" s="333">
        <f ca="1">IF(TYPE(VLOOKUP($A115,'1.kolo'!$L$3:$L$66,1,0))&gt;3,VLOOKUP($A115,'1.kolo'!$K$3:$L$66,2,0),VLOOKUP($A115,'1.kolo'!$L$3:$O$66,4,0))</f>
        <v>51</v>
      </c>
      <c r="AH115" s="333">
        <f ca="1">IF(TYPE(VLOOKUP($A115,'1.kolo'!$L$3:$L$66,1,0))&gt;3,VLOOKUP($A115,'1.kolo'!$O$3:$Q$66,2,0),VLOOKUP($A115,'1.kolo'!$L$3:$N$66,2,0))</f>
        <v>0</v>
      </c>
      <c r="AI115" s="333">
        <f ca="1">IF(TYPE(VLOOKUP($A115,'1.kolo'!$L$3:$L$66,1,0))&gt;3,VLOOKUP($A115,'1.kolo'!$O$3:$Q$66,3,0),VLOOKUP($A115,'1.kolo'!$L$3:$N$66,3,0))</f>
        <v>0</v>
      </c>
      <c r="AJ115" s="333">
        <f t="shared" ca="1" si="53"/>
        <v>0</v>
      </c>
      <c r="AK115" s="333">
        <v>113</v>
      </c>
      <c r="AL115" s="442"/>
      <c r="AP115" s="333" t="str">
        <f ca="1">IF(TYPE(VLOOKUP($A115,'2.kolo'!$L$3:$L$66,1,0))&gt;3,IF(TYPE(VLOOKUP($A115,'2.kolo'!$K$3:$L$66,2,0))&gt;3,0,VLOOKUP($A115,'2.kolo'!$K$3:$L$66,2,0)),VLOOKUP($A115,'2.kolo'!$L$3:$O$66,4,0))</f>
        <v/>
      </c>
      <c r="AQ115" s="333">
        <f ca="1">IF(TYPE(VLOOKUP($A115,'2.kolo'!$L$3:$L$66,1,0))&gt;3,IF(TYPE(VLOOKUP($A115,'2.kolo'!$O$3:$Q$66,2,0))&gt;3,0,VLOOKUP($A115,'2.kolo'!$O$3:$Q$66,2,0)),VLOOKUP($A115,'2.kolo'!$L$3:$N$66,2,0))</f>
        <v>0</v>
      </c>
      <c r="AR115" s="333">
        <f ca="1">IF(TYPE(VLOOKUP($A115,'2.kolo'!$L$3:$L$66,1,0))&gt;3,IF(TYPE(VLOOKUP($A115,'2.kolo'!$O$3:$Q$66,3,0))&gt;3,0,VLOOKUP($A115,'2.kolo'!$O$3:$Q$66,3,0)),VLOOKUP($A115,'2.kolo'!$L$3:$N$66,3,0))</f>
        <v>0</v>
      </c>
      <c r="AS115" s="333">
        <f t="shared" ca="1" si="54"/>
        <v>0</v>
      </c>
      <c r="AT115" s="415" t="s">
        <v>2005</v>
      </c>
      <c r="AU115" s="442" t="str">
        <f ca="1">IF(AT115="","",CONCATENATE(TEXT($O115,"0"),IF(Start.listina!$Y$5="","",TEXT(500+$P115,"000")),TEXT(999999*RAND(),"000000")))</f>
        <v/>
      </c>
      <c r="AV115" s="333">
        <f t="shared" ca="1" si="63"/>
        <v>0</v>
      </c>
      <c r="AY115" s="333" t="str">
        <f ca="1">IF(TYPE(VLOOKUP($A115,'3.kolo'!$L$3:$L$66,1,0))&gt;3,IF(TYPE(VLOOKUP($A115,'3.kolo'!$K$3:$L$66,2,0))&gt;3,0,VLOOKUP($A115,'3.kolo'!$K$3:$L$66,2,0)),VLOOKUP($A115,'3.kolo'!$L$3:$O$66,4,0))</f>
        <v/>
      </c>
      <c r="AZ115" s="333">
        <f ca="1">IF(TYPE(VLOOKUP($A115,'3.kolo'!$L$3:$L$66,1,0))&gt;3,IF(TYPE(VLOOKUP($A115,'3.kolo'!$O$3:$Q$66,2,0))&gt;3,0,VLOOKUP($A115,'3.kolo'!$O$3:$Q$66,2,0)),VLOOKUP($A115,'3.kolo'!$L$3:$N$66,2,0))</f>
        <v>0</v>
      </c>
      <c r="BA115" s="333">
        <f ca="1">IF(TYPE(VLOOKUP($A115,'3.kolo'!$L$3:$L$66,1,0))&gt;3,IF(TYPE(VLOOKUP($A115,'3.kolo'!$O$3:$Q$66,3,0))&gt;3,0,VLOOKUP($A115,'3.kolo'!$O$3:$Q$66,3,0)),VLOOKUP($A115,'3.kolo'!$L$3:$N$66,3,0))</f>
        <v>0</v>
      </c>
      <c r="BB115" s="333">
        <f t="shared" ca="1" si="55"/>
        <v>0</v>
      </c>
      <c r="BC115" s="415" t="s">
        <v>2005</v>
      </c>
      <c r="BD115" s="442" t="str">
        <f ca="1">IF(BC115="","",CONCATENATE(TEXT($O115,"0"),IF(Start.listina!$Y$5="","",TEXT(500+$P115,"000")),TEXT(999999*RAND(),"000000")))</f>
        <v/>
      </c>
      <c r="BE115" s="333">
        <f t="shared" ca="1" si="64"/>
        <v>0</v>
      </c>
      <c r="BH115" s="333" t="str">
        <f ca="1">IF(TYPE(VLOOKUP($A115,'4.kolo'!$L$3:$L$66,1,0))&gt;3,IF(TYPE(VLOOKUP($A115,'4.kolo'!$K$3:$L$66,2,0))&gt;3,0,VLOOKUP($A115,'4.kolo'!$K$3:$L$66,2,0)),VLOOKUP($A115,'4.kolo'!$L$3:$O$66,4,0))</f>
        <v/>
      </c>
      <c r="BI115" s="333">
        <f ca="1">IF(TYPE(VLOOKUP($A115,'4.kolo'!$L$3:$L$66,1,0))&gt;3,IF(TYPE(VLOOKUP($A115,'4.kolo'!$O$3:$Q$66,2,0))&gt;3,0,VLOOKUP($A115,'4.kolo'!$O$3:$Q$66,2,0)),VLOOKUP($A115,'4.kolo'!$L$3:$N$66,2,0))</f>
        <v>0</v>
      </c>
      <c r="BJ115" s="333">
        <f ca="1">IF(TYPE(VLOOKUP($A115,'4.kolo'!$L$3:$L$66,1,0))&gt;3,IF(TYPE(VLOOKUP($A115,'4.kolo'!$O$3:$Q$66,3,0))&gt;3,0,VLOOKUP($A115,'4.kolo'!$O$3:$Q$66,3,0)),VLOOKUP($A115,'4.kolo'!$L$3:$N$66,3,0))</f>
        <v>0</v>
      </c>
      <c r="BK115" s="333">
        <f t="shared" ca="1" si="56"/>
        <v>0</v>
      </c>
      <c r="BL115" s="415" t="s">
        <v>2005</v>
      </c>
      <c r="BM115" s="442" t="str">
        <f ca="1">IF(BL115="","",CONCATENATE(TEXT($O115,"0"),IF(Start.listina!$Y$5="","",TEXT(500+$P115,"000")),TEXT(999999*RAND(),"000000")))</f>
        <v/>
      </c>
      <c r="BN115" s="333">
        <f t="shared" ca="1" si="65"/>
        <v>0</v>
      </c>
      <c r="BQ115" s="333" t="str">
        <f ca="1">IF(TYPE(VLOOKUP($A115,'5.kolo'!$L$3:$L$66,1,0))&gt;3,IF(TYPE(VLOOKUP($A115,'5.kolo'!$K$3:$L$66,2,0))&gt;3,0,VLOOKUP($A115,'5.kolo'!$K$3:$L$66,2,0)),VLOOKUP($A115,'5.kolo'!$L$3:$O$66,4,0))</f>
        <v/>
      </c>
      <c r="BR115" s="333">
        <f ca="1">IF(TYPE(VLOOKUP($A115,'5.kolo'!$L$3:$L$66,1,0))&gt;3,IF(TYPE(VLOOKUP($A115,'5.kolo'!$O$3:$Q$66,2,0))&gt;3,0,VLOOKUP($A115,'5.kolo'!$O$3:$Q$66,2,0)),VLOOKUP($A115,'5.kolo'!$L$3:$N$66,2,0))</f>
        <v>0</v>
      </c>
      <c r="BS115" s="333">
        <f ca="1">IF(TYPE(VLOOKUP($A115,'5.kolo'!$L$3:$L$66,1,0))&gt;3,IF(TYPE(VLOOKUP($A115,'5.kolo'!$O$3:$Q$66,3,0))&gt;3,0,VLOOKUP($A115,'5.kolo'!$O$3:$Q$66,3,0)),VLOOKUP($A115,'5.kolo'!$L$3:$N$66,3,0))</f>
        <v>0</v>
      </c>
      <c r="BT115" s="333">
        <f t="shared" ca="1" si="57"/>
        <v>0</v>
      </c>
      <c r="BU115" s="415"/>
      <c r="BV115" s="442" t="str">
        <f ca="1">IF(BU115="","",CONCATENATE(TEXT($O115,"0"),IF(Start.listina!$Y$5="","",TEXT(500+$P115,"000")),TEXT(999999*RAND(),"000000")))</f>
        <v/>
      </c>
      <c r="BW115" s="333">
        <f t="shared" ca="1" si="66"/>
        <v>0</v>
      </c>
      <c r="BZ115" s="333" t="str">
        <f ca="1">IF(TYPE(VLOOKUP($A115,'6.kolo'!$L$3:$L$66,1,0))&gt;3,IF(TYPE(VLOOKUP($A115,'6.kolo'!$K$3:$L$66,2,0))&gt;3,0,VLOOKUP($A115,'6.kolo'!$K$3:$L$66,2,0)),VLOOKUP($A115,'6.kolo'!$L$3:$O$66,4,0))</f>
        <v/>
      </c>
      <c r="CA115" s="333">
        <f ca="1">IF(TYPE(VLOOKUP($A115,'6.kolo'!$L$3:$L$66,1,0))&gt;3,IF(TYPE(VLOOKUP($A115,'6.kolo'!$O$3:$Q$66,2,0))&gt;3,0,VLOOKUP($A115,'6.kolo'!$O$3:$Q$66,2,0)),VLOOKUP($A115,'6.kolo'!$L$3:$N$66,2,0))</f>
        <v>0</v>
      </c>
      <c r="CB115" s="333">
        <f ca="1">IF(TYPE(VLOOKUP($A115,'6.kolo'!$L$3:$L$66,1,0))&gt;3,IF(TYPE(VLOOKUP($A115,'6.kolo'!$O$3:$Q$66,3,0))&gt;3,0,VLOOKUP($A115,'6.kolo'!$O$3:$Q$66,3,0)),VLOOKUP($A115,'6.kolo'!$L$3:$N$66,3,0))</f>
        <v>0</v>
      </c>
      <c r="CC115" s="333">
        <f t="shared" ca="1" si="58"/>
        <v>0</v>
      </c>
      <c r="CD115" s="415"/>
      <c r="CE115" s="442" t="str">
        <f ca="1">IF(CD115="","",CONCATENATE(TEXT($O115,"0"),IF(Start.listina!$Y$5="","",TEXT(500+$P115,"000")),TEXT(999999*RAND(),"000000")))</f>
        <v/>
      </c>
      <c r="CF115" s="333">
        <f t="shared" ca="1" si="67"/>
        <v>0</v>
      </c>
    </row>
    <row r="116" spans="1:84" x14ac:dyDescent="0.25">
      <c r="A116" s="333" t="str">
        <f>IF(OR(Start.listina!H124&gt;Start.listina!$K$7,Start.listina!G124=TRUE),"",Start.listina!H124)</f>
        <v/>
      </c>
      <c r="B116" s="333" t="str">
        <f>IF($A116&gt;Start.listina!$K$7,"",INT(($A116-1)/Start.listina!$O$7)+1)</f>
        <v/>
      </c>
      <c r="C116" s="439" t="str">
        <f>IF(OR(Start.listina!H124&gt;Start.listina!$K$7,Start.listina!G124=TRUE)," - ",Start.listina!AL124)</f>
        <v xml:space="preserve"> - </v>
      </c>
      <c r="D116" s="333" t="str">
        <f>IF(OR(A116&gt;Start.listina!$K$7,TYPE(VLOOKUP(A116,$V$3:$X$130,3,0))&gt;3),"",VLOOKUP(A116,$V$3:$X$130,3,0))</f>
        <v/>
      </c>
      <c r="E116" s="440" t="str">
        <f>IF(A116&gt;Start.listina!$K$7,"",IF(MIN(F116:K116)&gt;Start.listina!$Y$4,D116,MIN(F116:K116)))</f>
        <v/>
      </c>
      <c r="F116" s="333">
        <f ca="1">IF(TYPE(VLOOKUP(C116,Konečné_pořadí_1_16!$B$2:$D$17,3,0))&lt;4,VLOOKUP(C116,Konečné_pořadí_1_16!$B$2:$D$17,3,0),999)</f>
        <v>999</v>
      </c>
      <c r="G116" s="333">
        <f ca="1">IF(TYPE(VLOOKUP(C116,'KO64'!$D$4:$D$129,1,0))&lt;4,64,999)</f>
        <v>64</v>
      </c>
      <c r="H116" s="333">
        <f ca="1">IF(TYPE(VLOOKUP(C116,'KO32'!$D$4:$D$65,1,0))&lt;4,32,999)</f>
        <v>32</v>
      </c>
      <c r="I116" s="333">
        <f ca="1">IF(TYPE(VLOOKUP(C116,'KO16'!$D$4:$D$33,1,0))&lt;4,16,999)</f>
        <v>999</v>
      </c>
      <c r="J116" s="333">
        <f ca="1">IF(TYPE(VLOOKUP(C116,'KO8'!$D$4:$D$17,1,0))&lt;4,8,999)</f>
        <v>999</v>
      </c>
      <c r="K116" s="333">
        <f ca="1">IF(TYPE(VLOOKUP(C116,'KO4'!$D$4:$D$9,1,0))&lt;4,4,999)</f>
        <v>999</v>
      </c>
      <c r="M116" s="334">
        <v>114</v>
      </c>
      <c r="O116" s="333">
        <f t="shared" ca="1" si="42"/>
        <v>0</v>
      </c>
      <c r="P116" s="333">
        <f t="shared" ca="1" si="43"/>
        <v>0</v>
      </c>
      <c r="Q116" s="333">
        <f t="shared" ca="1" si="60"/>
        <v>2</v>
      </c>
      <c r="R116" s="333">
        <f t="shared" ca="1" si="61"/>
        <v>0</v>
      </c>
      <c r="S116" s="333">
        <f t="shared" ca="1" si="44"/>
        <v>16</v>
      </c>
      <c r="T116" s="333">
        <f t="shared" ca="1" si="45"/>
        <v>0</v>
      </c>
      <c r="U116" s="415">
        <f t="shared" si="59"/>
        <v>114</v>
      </c>
      <c r="V116" s="415" t="s">
        <v>2005</v>
      </c>
      <c r="W116" s="441" t="str">
        <f ca="1">IF($V116="","",CONCATENATE(TEXT($O116,"0"),IF(Start.listina!$Y$5="","",TEXT(500+$P116,"0000")),IF(Start.listina!$Y$6="","",CHOOSE(Start.listina!$Y$7,TEXT($Q116,"00"),CONCATENATE(TEXT($Q116,"00"),TEXT($S116,"000")), TEXT($R116,"00"))),TEXT(500+$P116,"0000"),IF(Start.listina!$Y$8="","",TEXT($T116,"0")),TEXT(999999*RAND(),"000000")))</f>
        <v/>
      </c>
      <c r="X116" s="417">
        <f t="shared" si="46"/>
        <v>114</v>
      </c>
      <c r="Y116" s="415">
        <f t="shared" ca="1" si="62"/>
        <v>0</v>
      </c>
      <c r="Z116" s="333">
        <f t="shared" ca="1" si="47"/>
        <v>51</v>
      </c>
      <c r="AA116" s="333" t="str">
        <f t="shared" ca="1" si="48"/>
        <v/>
      </c>
      <c r="AB116" s="333" t="str">
        <f t="shared" ca="1" si="49"/>
        <v/>
      </c>
      <c r="AC116" s="333" t="str">
        <f t="shared" ca="1" si="50"/>
        <v/>
      </c>
      <c r="AD116" s="333" t="str">
        <f t="shared" ca="1" si="51"/>
        <v/>
      </c>
      <c r="AE116" s="333" t="str">
        <f t="shared" ca="1" si="52"/>
        <v/>
      </c>
      <c r="AG116" s="333">
        <f ca="1">IF(TYPE(VLOOKUP($A116,'1.kolo'!$L$3:$L$66,1,0))&gt;3,VLOOKUP($A116,'1.kolo'!$K$3:$L$66,2,0),VLOOKUP($A116,'1.kolo'!$L$3:$O$66,4,0))</f>
        <v>51</v>
      </c>
      <c r="AH116" s="333">
        <f ca="1">IF(TYPE(VLOOKUP($A116,'1.kolo'!$L$3:$L$66,1,0))&gt;3,VLOOKUP($A116,'1.kolo'!$O$3:$Q$66,2,0),VLOOKUP($A116,'1.kolo'!$L$3:$N$66,2,0))</f>
        <v>0</v>
      </c>
      <c r="AI116" s="333">
        <f ca="1">IF(TYPE(VLOOKUP($A116,'1.kolo'!$L$3:$L$66,1,0))&gt;3,VLOOKUP($A116,'1.kolo'!$O$3:$Q$66,3,0),VLOOKUP($A116,'1.kolo'!$L$3:$N$66,3,0))</f>
        <v>0</v>
      </c>
      <c r="AJ116" s="333">
        <f t="shared" ca="1" si="53"/>
        <v>0</v>
      </c>
      <c r="AK116" s="333">
        <v>114</v>
      </c>
      <c r="AL116" s="442"/>
      <c r="AP116" s="333" t="str">
        <f ca="1">IF(TYPE(VLOOKUP($A116,'2.kolo'!$L$3:$L$66,1,0))&gt;3,IF(TYPE(VLOOKUP($A116,'2.kolo'!$K$3:$L$66,2,0))&gt;3,0,VLOOKUP($A116,'2.kolo'!$K$3:$L$66,2,0)),VLOOKUP($A116,'2.kolo'!$L$3:$O$66,4,0))</f>
        <v/>
      </c>
      <c r="AQ116" s="333">
        <f ca="1">IF(TYPE(VLOOKUP($A116,'2.kolo'!$L$3:$L$66,1,0))&gt;3,IF(TYPE(VLOOKUP($A116,'2.kolo'!$O$3:$Q$66,2,0))&gt;3,0,VLOOKUP($A116,'2.kolo'!$O$3:$Q$66,2,0)),VLOOKUP($A116,'2.kolo'!$L$3:$N$66,2,0))</f>
        <v>0</v>
      </c>
      <c r="AR116" s="333">
        <f ca="1">IF(TYPE(VLOOKUP($A116,'2.kolo'!$L$3:$L$66,1,0))&gt;3,IF(TYPE(VLOOKUP($A116,'2.kolo'!$O$3:$Q$66,3,0))&gt;3,0,VLOOKUP($A116,'2.kolo'!$O$3:$Q$66,3,0)),VLOOKUP($A116,'2.kolo'!$L$3:$N$66,3,0))</f>
        <v>0</v>
      </c>
      <c r="AS116" s="333">
        <f t="shared" ca="1" si="54"/>
        <v>0</v>
      </c>
      <c r="AT116" s="415" t="s">
        <v>2005</v>
      </c>
      <c r="AU116" s="442" t="str">
        <f ca="1">IF(AT116="","",CONCATENATE(TEXT($O116,"0"),IF(Start.listina!$Y$5="","",TEXT(500+$P116,"000")),TEXT(999999*RAND(),"000000")))</f>
        <v/>
      </c>
      <c r="AV116" s="333">
        <f t="shared" ca="1" si="63"/>
        <v>0</v>
      </c>
      <c r="AY116" s="333" t="str">
        <f ca="1">IF(TYPE(VLOOKUP($A116,'3.kolo'!$L$3:$L$66,1,0))&gt;3,IF(TYPE(VLOOKUP($A116,'3.kolo'!$K$3:$L$66,2,0))&gt;3,0,VLOOKUP($A116,'3.kolo'!$K$3:$L$66,2,0)),VLOOKUP($A116,'3.kolo'!$L$3:$O$66,4,0))</f>
        <v/>
      </c>
      <c r="AZ116" s="333">
        <f ca="1">IF(TYPE(VLOOKUP($A116,'3.kolo'!$L$3:$L$66,1,0))&gt;3,IF(TYPE(VLOOKUP($A116,'3.kolo'!$O$3:$Q$66,2,0))&gt;3,0,VLOOKUP($A116,'3.kolo'!$O$3:$Q$66,2,0)),VLOOKUP($A116,'3.kolo'!$L$3:$N$66,2,0))</f>
        <v>0</v>
      </c>
      <c r="BA116" s="333">
        <f ca="1">IF(TYPE(VLOOKUP($A116,'3.kolo'!$L$3:$L$66,1,0))&gt;3,IF(TYPE(VLOOKUP($A116,'3.kolo'!$O$3:$Q$66,3,0))&gt;3,0,VLOOKUP($A116,'3.kolo'!$O$3:$Q$66,3,0)),VLOOKUP($A116,'3.kolo'!$L$3:$N$66,3,0))</f>
        <v>0</v>
      </c>
      <c r="BB116" s="333">
        <f t="shared" ca="1" si="55"/>
        <v>0</v>
      </c>
      <c r="BC116" s="415" t="s">
        <v>2005</v>
      </c>
      <c r="BD116" s="442" t="str">
        <f ca="1">IF(BC116="","",CONCATENATE(TEXT($O116,"0"),IF(Start.listina!$Y$5="","",TEXT(500+$P116,"000")),TEXT(999999*RAND(),"000000")))</f>
        <v/>
      </c>
      <c r="BE116" s="333">
        <f t="shared" ca="1" si="64"/>
        <v>0</v>
      </c>
      <c r="BH116" s="333" t="str">
        <f ca="1">IF(TYPE(VLOOKUP($A116,'4.kolo'!$L$3:$L$66,1,0))&gt;3,IF(TYPE(VLOOKUP($A116,'4.kolo'!$K$3:$L$66,2,0))&gt;3,0,VLOOKUP($A116,'4.kolo'!$K$3:$L$66,2,0)),VLOOKUP($A116,'4.kolo'!$L$3:$O$66,4,0))</f>
        <v/>
      </c>
      <c r="BI116" s="333">
        <f ca="1">IF(TYPE(VLOOKUP($A116,'4.kolo'!$L$3:$L$66,1,0))&gt;3,IF(TYPE(VLOOKUP($A116,'4.kolo'!$O$3:$Q$66,2,0))&gt;3,0,VLOOKUP($A116,'4.kolo'!$O$3:$Q$66,2,0)),VLOOKUP($A116,'4.kolo'!$L$3:$N$66,2,0))</f>
        <v>0</v>
      </c>
      <c r="BJ116" s="333">
        <f ca="1">IF(TYPE(VLOOKUP($A116,'4.kolo'!$L$3:$L$66,1,0))&gt;3,IF(TYPE(VLOOKUP($A116,'4.kolo'!$O$3:$Q$66,3,0))&gt;3,0,VLOOKUP($A116,'4.kolo'!$O$3:$Q$66,3,0)),VLOOKUP($A116,'4.kolo'!$L$3:$N$66,3,0))</f>
        <v>0</v>
      </c>
      <c r="BK116" s="333">
        <f t="shared" ca="1" si="56"/>
        <v>0</v>
      </c>
      <c r="BL116" s="415" t="s">
        <v>2005</v>
      </c>
      <c r="BM116" s="442" t="str">
        <f ca="1">IF(BL116="","",CONCATENATE(TEXT($O116,"0"),IF(Start.listina!$Y$5="","",TEXT(500+$P116,"000")),TEXT(999999*RAND(),"000000")))</f>
        <v/>
      </c>
      <c r="BN116" s="333">
        <f t="shared" ca="1" si="65"/>
        <v>0</v>
      </c>
      <c r="BQ116" s="333" t="str">
        <f ca="1">IF(TYPE(VLOOKUP($A116,'5.kolo'!$L$3:$L$66,1,0))&gt;3,IF(TYPE(VLOOKUP($A116,'5.kolo'!$K$3:$L$66,2,0))&gt;3,0,VLOOKUP($A116,'5.kolo'!$K$3:$L$66,2,0)),VLOOKUP($A116,'5.kolo'!$L$3:$O$66,4,0))</f>
        <v/>
      </c>
      <c r="BR116" s="333">
        <f ca="1">IF(TYPE(VLOOKUP($A116,'5.kolo'!$L$3:$L$66,1,0))&gt;3,IF(TYPE(VLOOKUP($A116,'5.kolo'!$O$3:$Q$66,2,0))&gt;3,0,VLOOKUP($A116,'5.kolo'!$O$3:$Q$66,2,0)),VLOOKUP($A116,'5.kolo'!$L$3:$N$66,2,0))</f>
        <v>0</v>
      </c>
      <c r="BS116" s="333">
        <f ca="1">IF(TYPE(VLOOKUP($A116,'5.kolo'!$L$3:$L$66,1,0))&gt;3,IF(TYPE(VLOOKUP($A116,'5.kolo'!$O$3:$Q$66,3,0))&gt;3,0,VLOOKUP($A116,'5.kolo'!$O$3:$Q$66,3,0)),VLOOKUP($A116,'5.kolo'!$L$3:$N$66,3,0))</f>
        <v>0</v>
      </c>
      <c r="BT116" s="333">
        <f t="shared" ca="1" si="57"/>
        <v>0</v>
      </c>
      <c r="BU116" s="415"/>
      <c r="BV116" s="442" t="str">
        <f ca="1">IF(BU116="","",CONCATENATE(TEXT($O116,"0"),IF(Start.listina!$Y$5="","",TEXT(500+$P116,"000")),TEXT(999999*RAND(),"000000")))</f>
        <v/>
      </c>
      <c r="BW116" s="333">
        <f t="shared" ca="1" si="66"/>
        <v>0</v>
      </c>
      <c r="BZ116" s="333" t="str">
        <f ca="1">IF(TYPE(VLOOKUP($A116,'6.kolo'!$L$3:$L$66,1,0))&gt;3,IF(TYPE(VLOOKUP($A116,'6.kolo'!$K$3:$L$66,2,0))&gt;3,0,VLOOKUP($A116,'6.kolo'!$K$3:$L$66,2,0)),VLOOKUP($A116,'6.kolo'!$L$3:$O$66,4,0))</f>
        <v/>
      </c>
      <c r="CA116" s="333">
        <f ca="1">IF(TYPE(VLOOKUP($A116,'6.kolo'!$L$3:$L$66,1,0))&gt;3,IF(TYPE(VLOOKUP($A116,'6.kolo'!$O$3:$Q$66,2,0))&gt;3,0,VLOOKUP($A116,'6.kolo'!$O$3:$Q$66,2,0)),VLOOKUP($A116,'6.kolo'!$L$3:$N$66,2,0))</f>
        <v>0</v>
      </c>
      <c r="CB116" s="333">
        <f ca="1">IF(TYPE(VLOOKUP($A116,'6.kolo'!$L$3:$L$66,1,0))&gt;3,IF(TYPE(VLOOKUP($A116,'6.kolo'!$O$3:$Q$66,3,0))&gt;3,0,VLOOKUP($A116,'6.kolo'!$O$3:$Q$66,3,0)),VLOOKUP($A116,'6.kolo'!$L$3:$N$66,3,0))</f>
        <v>0</v>
      </c>
      <c r="CC116" s="333">
        <f t="shared" ca="1" si="58"/>
        <v>0</v>
      </c>
      <c r="CD116" s="415"/>
      <c r="CE116" s="442" t="str">
        <f ca="1">IF(CD116="","",CONCATENATE(TEXT($O116,"0"),IF(Start.listina!$Y$5="","",TEXT(500+$P116,"000")),TEXT(999999*RAND(),"000000")))</f>
        <v/>
      </c>
      <c r="CF116" s="333">
        <f t="shared" ca="1" si="67"/>
        <v>0</v>
      </c>
    </row>
    <row r="117" spans="1:84" x14ac:dyDescent="0.25">
      <c r="A117" s="333" t="str">
        <f>IF(OR(Start.listina!H125&gt;Start.listina!$K$7,Start.listina!G125=TRUE),"",Start.listina!H125)</f>
        <v/>
      </c>
      <c r="B117" s="333" t="str">
        <f>IF($A117&gt;Start.listina!$K$7,"",INT(($A117-1)/Start.listina!$O$7)+1)</f>
        <v/>
      </c>
      <c r="C117" s="439" t="str">
        <f>IF(OR(Start.listina!H125&gt;Start.listina!$K$7,Start.listina!G125=TRUE)," - ",Start.listina!AL125)</f>
        <v xml:space="preserve"> - </v>
      </c>
      <c r="D117" s="333" t="str">
        <f>IF(OR(A117&gt;Start.listina!$K$7,TYPE(VLOOKUP(A117,$V$3:$X$130,3,0))&gt;3),"",VLOOKUP(A117,$V$3:$X$130,3,0))</f>
        <v/>
      </c>
      <c r="E117" s="440" t="str">
        <f>IF(A117&gt;Start.listina!$K$7,"",IF(MIN(F117:K117)&gt;Start.listina!$Y$4,D117,MIN(F117:K117)))</f>
        <v/>
      </c>
      <c r="F117" s="333">
        <f ca="1">IF(TYPE(VLOOKUP(C117,Konečné_pořadí_1_16!$B$2:$D$17,3,0))&lt;4,VLOOKUP(C117,Konečné_pořadí_1_16!$B$2:$D$17,3,0),999)</f>
        <v>999</v>
      </c>
      <c r="G117" s="333">
        <f ca="1">IF(TYPE(VLOOKUP(C117,'KO64'!$D$4:$D$129,1,0))&lt;4,64,999)</f>
        <v>64</v>
      </c>
      <c r="H117" s="333">
        <f ca="1">IF(TYPE(VLOOKUP(C117,'KO32'!$D$4:$D$65,1,0))&lt;4,32,999)</f>
        <v>32</v>
      </c>
      <c r="I117" s="333">
        <f ca="1">IF(TYPE(VLOOKUP(C117,'KO16'!$D$4:$D$33,1,0))&lt;4,16,999)</f>
        <v>999</v>
      </c>
      <c r="J117" s="333">
        <f ca="1">IF(TYPE(VLOOKUP(C117,'KO8'!$D$4:$D$17,1,0))&lt;4,8,999)</f>
        <v>999</v>
      </c>
      <c r="K117" s="333">
        <f ca="1">IF(TYPE(VLOOKUP(C117,'KO4'!$D$4:$D$9,1,0))&lt;4,4,999)</f>
        <v>999</v>
      </c>
      <c r="M117" s="334">
        <v>115</v>
      </c>
      <c r="O117" s="333">
        <f t="shared" ca="1" si="42"/>
        <v>0</v>
      </c>
      <c r="P117" s="333">
        <f t="shared" ca="1" si="43"/>
        <v>0</v>
      </c>
      <c r="Q117" s="333">
        <f t="shared" ca="1" si="60"/>
        <v>2</v>
      </c>
      <c r="R117" s="333">
        <f t="shared" ca="1" si="61"/>
        <v>0</v>
      </c>
      <c r="S117" s="333">
        <f t="shared" ca="1" si="44"/>
        <v>16</v>
      </c>
      <c r="T117" s="333">
        <f t="shared" ca="1" si="45"/>
        <v>0</v>
      </c>
      <c r="U117" s="415">
        <f t="shared" si="59"/>
        <v>115</v>
      </c>
      <c r="V117" s="415" t="s">
        <v>2005</v>
      </c>
      <c r="W117" s="441" t="str">
        <f ca="1">IF($V117="","",CONCATENATE(TEXT($O117,"0"),IF(Start.listina!$Y$5="","",TEXT(500+$P117,"0000")),IF(Start.listina!$Y$6="","",CHOOSE(Start.listina!$Y$7,TEXT($Q117,"00"),CONCATENATE(TEXT($Q117,"00"),TEXT($S117,"000")), TEXT($R117,"00"))),TEXT(500+$P117,"0000"),IF(Start.listina!$Y$8="","",TEXT($T117,"0")),TEXT(999999*RAND(),"000000")))</f>
        <v/>
      </c>
      <c r="X117" s="417">
        <f t="shared" si="46"/>
        <v>115</v>
      </c>
      <c r="Y117" s="415">
        <f t="shared" ca="1" si="62"/>
        <v>0</v>
      </c>
      <c r="Z117" s="333">
        <f t="shared" ca="1" si="47"/>
        <v>51</v>
      </c>
      <c r="AA117" s="333" t="str">
        <f t="shared" ca="1" si="48"/>
        <v/>
      </c>
      <c r="AB117" s="333" t="str">
        <f t="shared" ca="1" si="49"/>
        <v/>
      </c>
      <c r="AC117" s="333" t="str">
        <f t="shared" ca="1" si="50"/>
        <v/>
      </c>
      <c r="AD117" s="333" t="str">
        <f t="shared" ca="1" si="51"/>
        <v/>
      </c>
      <c r="AE117" s="333" t="str">
        <f t="shared" ca="1" si="52"/>
        <v/>
      </c>
      <c r="AG117" s="333">
        <f ca="1">IF(TYPE(VLOOKUP($A117,'1.kolo'!$L$3:$L$66,1,0))&gt;3,VLOOKUP($A117,'1.kolo'!$K$3:$L$66,2,0),VLOOKUP($A117,'1.kolo'!$L$3:$O$66,4,0))</f>
        <v>51</v>
      </c>
      <c r="AH117" s="333">
        <f ca="1">IF(TYPE(VLOOKUP($A117,'1.kolo'!$L$3:$L$66,1,0))&gt;3,VLOOKUP($A117,'1.kolo'!$O$3:$Q$66,2,0),VLOOKUP($A117,'1.kolo'!$L$3:$N$66,2,0))</f>
        <v>0</v>
      </c>
      <c r="AI117" s="333">
        <f ca="1">IF(TYPE(VLOOKUP($A117,'1.kolo'!$L$3:$L$66,1,0))&gt;3,VLOOKUP($A117,'1.kolo'!$O$3:$Q$66,3,0),VLOOKUP($A117,'1.kolo'!$L$3:$N$66,3,0))</f>
        <v>0</v>
      </c>
      <c r="AJ117" s="333">
        <f t="shared" ca="1" si="53"/>
        <v>0</v>
      </c>
      <c r="AK117" s="333">
        <v>115</v>
      </c>
      <c r="AL117" s="442"/>
      <c r="AP117" s="333" t="str">
        <f ca="1">IF(TYPE(VLOOKUP($A117,'2.kolo'!$L$3:$L$66,1,0))&gt;3,IF(TYPE(VLOOKUP($A117,'2.kolo'!$K$3:$L$66,2,0))&gt;3,0,VLOOKUP($A117,'2.kolo'!$K$3:$L$66,2,0)),VLOOKUP($A117,'2.kolo'!$L$3:$O$66,4,0))</f>
        <v/>
      </c>
      <c r="AQ117" s="333">
        <f ca="1">IF(TYPE(VLOOKUP($A117,'2.kolo'!$L$3:$L$66,1,0))&gt;3,IF(TYPE(VLOOKUP($A117,'2.kolo'!$O$3:$Q$66,2,0))&gt;3,0,VLOOKUP($A117,'2.kolo'!$O$3:$Q$66,2,0)),VLOOKUP($A117,'2.kolo'!$L$3:$N$66,2,0))</f>
        <v>0</v>
      </c>
      <c r="AR117" s="333">
        <f ca="1">IF(TYPE(VLOOKUP($A117,'2.kolo'!$L$3:$L$66,1,0))&gt;3,IF(TYPE(VLOOKUP($A117,'2.kolo'!$O$3:$Q$66,3,0))&gt;3,0,VLOOKUP($A117,'2.kolo'!$O$3:$Q$66,3,0)),VLOOKUP($A117,'2.kolo'!$L$3:$N$66,3,0))</f>
        <v>0</v>
      </c>
      <c r="AS117" s="333">
        <f t="shared" ca="1" si="54"/>
        <v>0</v>
      </c>
      <c r="AT117" s="415" t="s">
        <v>2005</v>
      </c>
      <c r="AU117" s="442" t="str">
        <f ca="1">IF(AT117="","",CONCATENATE(TEXT($O117,"0"),IF(Start.listina!$Y$5="","",TEXT(500+$P117,"000")),TEXT(999999*RAND(),"000000")))</f>
        <v/>
      </c>
      <c r="AV117" s="333">
        <f t="shared" ca="1" si="63"/>
        <v>0</v>
      </c>
      <c r="AY117" s="333" t="str">
        <f ca="1">IF(TYPE(VLOOKUP($A117,'3.kolo'!$L$3:$L$66,1,0))&gt;3,IF(TYPE(VLOOKUP($A117,'3.kolo'!$K$3:$L$66,2,0))&gt;3,0,VLOOKUP($A117,'3.kolo'!$K$3:$L$66,2,0)),VLOOKUP($A117,'3.kolo'!$L$3:$O$66,4,0))</f>
        <v/>
      </c>
      <c r="AZ117" s="333">
        <f ca="1">IF(TYPE(VLOOKUP($A117,'3.kolo'!$L$3:$L$66,1,0))&gt;3,IF(TYPE(VLOOKUP($A117,'3.kolo'!$O$3:$Q$66,2,0))&gt;3,0,VLOOKUP($A117,'3.kolo'!$O$3:$Q$66,2,0)),VLOOKUP($A117,'3.kolo'!$L$3:$N$66,2,0))</f>
        <v>0</v>
      </c>
      <c r="BA117" s="333">
        <f ca="1">IF(TYPE(VLOOKUP($A117,'3.kolo'!$L$3:$L$66,1,0))&gt;3,IF(TYPE(VLOOKUP($A117,'3.kolo'!$O$3:$Q$66,3,0))&gt;3,0,VLOOKUP($A117,'3.kolo'!$O$3:$Q$66,3,0)),VLOOKUP($A117,'3.kolo'!$L$3:$N$66,3,0))</f>
        <v>0</v>
      </c>
      <c r="BB117" s="333">
        <f t="shared" ca="1" si="55"/>
        <v>0</v>
      </c>
      <c r="BC117" s="415" t="s">
        <v>2005</v>
      </c>
      <c r="BD117" s="442" t="str">
        <f ca="1">IF(BC117="","",CONCATENATE(TEXT($O117,"0"),IF(Start.listina!$Y$5="","",TEXT(500+$P117,"000")),TEXT(999999*RAND(),"000000")))</f>
        <v/>
      </c>
      <c r="BE117" s="333">
        <f t="shared" ca="1" si="64"/>
        <v>0</v>
      </c>
      <c r="BH117" s="333" t="str">
        <f ca="1">IF(TYPE(VLOOKUP($A117,'4.kolo'!$L$3:$L$66,1,0))&gt;3,IF(TYPE(VLOOKUP($A117,'4.kolo'!$K$3:$L$66,2,0))&gt;3,0,VLOOKUP($A117,'4.kolo'!$K$3:$L$66,2,0)),VLOOKUP($A117,'4.kolo'!$L$3:$O$66,4,0))</f>
        <v/>
      </c>
      <c r="BI117" s="333">
        <f ca="1">IF(TYPE(VLOOKUP($A117,'4.kolo'!$L$3:$L$66,1,0))&gt;3,IF(TYPE(VLOOKUP($A117,'4.kolo'!$O$3:$Q$66,2,0))&gt;3,0,VLOOKUP($A117,'4.kolo'!$O$3:$Q$66,2,0)),VLOOKUP($A117,'4.kolo'!$L$3:$N$66,2,0))</f>
        <v>0</v>
      </c>
      <c r="BJ117" s="333">
        <f ca="1">IF(TYPE(VLOOKUP($A117,'4.kolo'!$L$3:$L$66,1,0))&gt;3,IF(TYPE(VLOOKUP($A117,'4.kolo'!$O$3:$Q$66,3,0))&gt;3,0,VLOOKUP($A117,'4.kolo'!$O$3:$Q$66,3,0)),VLOOKUP($A117,'4.kolo'!$L$3:$N$66,3,0))</f>
        <v>0</v>
      </c>
      <c r="BK117" s="333">
        <f t="shared" ca="1" si="56"/>
        <v>0</v>
      </c>
      <c r="BL117" s="415" t="s">
        <v>2005</v>
      </c>
      <c r="BM117" s="442" t="str">
        <f ca="1">IF(BL117="","",CONCATENATE(TEXT($O117,"0"),IF(Start.listina!$Y$5="","",TEXT(500+$P117,"000")),TEXT(999999*RAND(),"000000")))</f>
        <v/>
      </c>
      <c r="BN117" s="333">
        <f t="shared" ca="1" si="65"/>
        <v>0</v>
      </c>
      <c r="BQ117" s="333" t="str">
        <f ca="1">IF(TYPE(VLOOKUP($A117,'5.kolo'!$L$3:$L$66,1,0))&gt;3,IF(TYPE(VLOOKUP($A117,'5.kolo'!$K$3:$L$66,2,0))&gt;3,0,VLOOKUP($A117,'5.kolo'!$K$3:$L$66,2,0)),VLOOKUP($A117,'5.kolo'!$L$3:$O$66,4,0))</f>
        <v/>
      </c>
      <c r="BR117" s="333">
        <f ca="1">IF(TYPE(VLOOKUP($A117,'5.kolo'!$L$3:$L$66,1,0))&gt;3,IF(TYPE(VLOOKUP($A117,'5.kolo'!$O$3:$Q$66,2,0))&gt;3,0,VLOOKUP($A117,'5.kolo'!$O$3:$Q$66,2,0)),VLOOKUP($A117,'5.kolo'!$L$3:$N$66,2,0))</f>
        <v>0</v>
      </c>
      <c r="BS117" s="333">
        <f ca="1">IF(TYPE(VLOOKUP($A117,'5.kolo'!$L$3:$L$66,1,0))&gt;3,IF(TYPE(VLOOKUP($A117,'5.kolo'!$O$3:$Q$66,3,0))&gt;3,0,VLOOKUP($A117,'5.kolo'!$O$3:$Q$66,3,0)),VLOOKUP($A117,'5.kolo'!$L$3:$N$66,3,0))</f>
        <v>0</v>
      </c>
      <c r="BT117" s="333">
        <f t="shared" ca="1" si="57"/>
        <v>0</v>
      </c>
      <c r="BU117" s="415"/>
      <c r="BV117" s="442" t="str">
        <f ca="1">IF(BU117="","",CONCATENATE(TEXT($O117,"0"),IF(Start.listina!$Y$5="","",TEXT(500+$P117,"000")),TEXT(999999*RAND(),"000000")))</f>
        <v/>
      </c>
      <c r="BW117" s="333">
        <f t="shared" ca="1" si="66"/>
        <v>0</v>
      </c>
      <c r="BZ117" s="333" t="str">
        <f ca="1">IF(TYPE(VLOOKUP($A117,'6.kolo'!$L$3:$L$66,1,0))&gt;3,IF(TYPE(VLOOKUP($A117,'6.kolo'!$K$3:$L$66,2,0))&gt;3,0,VLOOKUP($A117,'6.kolo'!$K$3:$L$66,2,0)),VLOOKUP($A117,'6.kolo'!$L$3:$O$66,4,0))</f>
        <v/>
      </c>
      <c r="CA117" s="333">
        <f ca="1">IF(TYPE(VLOOKUP($A117,'6.kolo'!$L$3:$L$66,1,0))&gt;3,IF(TYPE(VLOOKUP($A117,'6.kolo'!$O$3:$Q$66,2,0))&gt;3,0,VLOOKUP($A117,'6.kolo'!$O$3:$Q$66,2,0)),VLOOKUP($A117,'6.kolo'!$L$3:$N$66,2,0))</f>
        <v>0</v>
      </c>
      <c r="CB117" s="333">
        <f ca="1">IF(TYPE(VLOOKUP($A117,'6.kolo'!$L$3:$L$66,1,0))&gt;3,IF(TYPE(VLOOKUP($A117,'6.kolo'!$O$3:$Q$66,3,0))&gt;3,0,VLOOKUP($A117,'6.kolo'!$O$3:$Q$66,3,0)),VLOOKUP($A117,'6.kolo'!$L$3:$N$66,3,0))</f>
        <v>0</v>
      </c>
      <c r="CC117" s="333">
        <f t="shared" ca="1" si="58"/>
        <v>0</v>
      </c>
      <c r="CD117" s="415"/>
      <c r="CE117" s="442" t="str">
        <f ca="1">IF(CD117="","",CONCATENATE(TEXT($O117,"0"),IF(Start.listina!$Y$5="","",TEXT(500+$P117,"000")),TEXT(999999*RAND(),"000000")))</f>
        <v/>
      </c>
      <c r="CF117" s="333">
        <f t="shared" ca="1" si="67"/>
        <v>0</v>
      </c>
    </row>
    <row r="118" spans="1:84" x14ac:dyDescent="0.25">
      <c r="A118" s="333" t="str">
        <f>IF(OR(Start.listina!H126&gt;Start.listina!$K$7,Start.listina!G126=TRUE),"",Start.listina!H126)</f>
        <v/>
      </c>
      <c r="B118" s="333" t="str">
        <f>IF($A118&gt;Start.listina!$K$7,"",INT(($A118-1)/Start.listina!$O$7)+1)</f>
        <v/>
      </c>
      <c r="C118" s="439" t="str">
        <f>IF(OR(Start.listina!H126&gt;Start.listina!$K$7,Start.listina!G126=TRUE)," - ",Start.listina!AL126)</f>
        <v xml:space="preserve"> - </v>
      </c>
      <c r="D118" s="333" t="str">
        <f>IF(OR(A118&gt;Start.listina!$K$7,TYPE(VLOOKUP(A118,$V$3:$X$130,3,0))&gt;3),"",VLOOKUP(A118,$V$3:$X$130,3,0))</f>
        <v/>
      </c>
      <c r="E118" s="440" t="str">
        <f>IF(A118&gt;Start.listina!$K$7,"",IF(MIN(F118:K118)&gt;Start.listina!$Y$4,D118,MIN(F118:K118)))</f>
        <v/>
      </c>
      <c r="F118" s="333">
        <f ca="1">IF(TYPE(VLOOKUP(C118,Konečné_pořadí_1_16!$B$2:$D$17,3,0))&lt;4,VLOOKUP(C118,Konečné_pořadí_1_16!$B$2:$D$17,3,0),999)</f>
        <v>999</v>
      </c>
      <c r="G118" s="333">
        <f ca="1">IF(TYPE(VLOOKUP(C118,'KO64'!$D$4:$D$129,1,0))&lt;4,64,999)</f>
        <v>64</v>
      </c>
      <c r="H118" s="333">
        <f ca="1">IF(TYPE(VLOOKUP(C118,'KO32'!$D$4:$D$65,1,0))&lt;4,32,999)</f>
        <v>32</v>
      </c>
      <c r="I118" s="333">
        <f ca="1">IF(TYPE(VLOOKUP(C118,'KO16'!$D$4:$D$33,1,0))&lt;4,16,999)</f>
        <v>999</v>
      </c>
      <c r="J118" s="333">
        <f ca="1">IF(TYPE(VLOOKUP(C118,'KO8'!$D$4:$D$17,1,0))&lt;4,8,999)</f>
        <v>999</v>
      </c>
      <c r="K118" s="333">
        <f ca="1">IF(TYPE(VLOOKUP(C118,'KO4'!$D$4:$D$9,1,0))&lt;4,4,999)</f>
        <v>999</v>
      </c>
      <c r="M118" s="334">
        <v>116</v>
      </c>
      <c r="O118" s="333">
        <f t="shared" ca="1" si="42"/>
        <v>0</v>
      </c>
      <c r="P118" s="333">
        <f t="shared" ca="1" si="43"/>
        <v>0</v>
      </c>
      <c r="Q118" s="333">
        <f t="shared" ca="1" si="60"/>
        <v>2</v>
      </c>
      <c r="R118" s="333">
        <f t="shared" ca="1" si="61"/>
        <v>0</v>
      </c>
      <c r="S118" s="333">
        <f t="shared" ca="1" si="44"/>
        <v>16</v>
      </c>
      <c r="T118" s="333">
        <f t="shared" ca="1" si="45"/>
        <v>0</v>
      </c>
      <c r="U118" s="415">
        <f t="shared" si="59"/>
        <v>116</v>
      </c>
      <c r="V118" s="415" t="s">
        <v>2005</v>
      </c>
      <c r="W118" s="441" t="str">
        <f ca="1">IF($V118="","",CONCATENATE(TEXT($O118,"0"),IF(Start.listina!$Y$5="","",TEXT(500+$P118,"0000")),IF(Start.listina!$Y$6="","",CHOOSE(Start.listina!$Y$7,TEXT($Q118,"00"),CONCATENATE(TEXT($Q118,"00"),TEXT($S118,"000")), TEXT($R118,"00"))),TEXT(500+$P118,"0000"),IF(Start.listina!$Y$8="","",TEXT($T118,"0")),TEXT(999999*RAND(),"000000")))</f>
        <v/>
      </c>
      <c r="X118" s="417">
        <f t="shared" si="46"/>
        <v>116</v>
      </c>
      <c r="Y118" s="415">
        <f t="shared" ca="1" si="62"/>
        <v>0</v>
      </c>
      <c r="Z118" s="333">
        <f t="shared" ca="1" si="47"/>
        <v>51</v>
      </c>
      <c r="AA118" s="333" t="str">
        <f t="shared" ca="1" si="48"/>
        <v/>
      </c>
      <c r="AB118" s="333" t="str">
        <f t="shared" ca="1" si="49"/>
        <v/>
      </c>
      <c r="AC118" s="333" t="str">
        <f t="shared" ca="1" si="50"/>
        <v/>
      </c>
      <c r="AD118" s="333" t="str">
        <f t="shared" ca="1" si="51"/>
        <v/>
      </c>
      <c r="AE118" s="333" t="str">
        <f t="shared" ca="1" si="52"/>
        <v/>
      </c>
      <c r="AG118" s="333">
        <f ca="1">IF(TYPE(VLOOKUP($A118,'1.kolo'!$L$3:$L$66,1,0))&gt;3,VLOOKUP($A118,'1.kolo'!$K$3:$L$66,2,0),VLOOKUP($A118,'1.kolo'!$L$3:$O$66,4,0))</f>
        <v>51</v>
      </c>
      <c r="AH118" s="333">
        <f ca="1">IF(TYPE(VLOOKUP($A118,'1.kolo'!$L$3:$L$66,1,0))&gt;3,VLOOKUP($A118,'1.kolo'!$O$3:$Q$66,2,0),VLOOKUP($A118,'1.kolo'!$L$3:$N$66,2,0))</f>
        <v>0</v>
      </c>
      <c r="AI118" s="333">
        <f ca="1">IF(TYPE(VLOOKUP($A118,'1.kolo'!$L$3:$L$66,1,0))&gt;3,VLOOKUP($A118,'1.kolo'!$O$3:$Q$66,3,0),VLOOKUP($A118,'1.kolo'!$L$3:$N$66,3,0))</f>
        <v>0</v>
      </c>
      <c r="AJ118" s="333">
        <f t="shared" ca="1" si="53"/>
        <v>0</v>
      </c>
      <c r="AK118" s="333">
        <v>116</v>
      </c>
      <c r="AL118" s="442"/>
      <c r="AP118" s="333" t="str">
        <f ca="1">IF(TYPE(VLOOKUP($A118,'2.kolo'!$L$3:$L$66,1,0))&gt;3,IF(TYPE(VLOOKUP($A118,'2.kolo'!$K$3:$L$66,2,0))&gt;3,0,VLOOKUP($A118,'2.kolo'!$K$3:$L$66,2,0)),VLOOKUP($A118,'2.kolo'!$L$3:$O$66,4,0))</f>
        <v/>
      </c>
      <c r="AQ118" s="333">
        <f ca="1">IF(TYPE(VLOOKUP($A118,'2.kolo'!$L$3:$L$66,1,0))&gt;3,IF(TYPE(VLOOKUP($A118,'2.kolo'!$O$3:$Q$66,2,0))&gt;3,0,VLOOKUP($A118,'2.kolo'!$O$3:$Q$66,2,0)),VLOOKUP($A118,'2.kolo'!$L$3:$N$66,2,0))</f>
        <v>0</v>
      </c>
      <c r="AR118" s="333">
        <f ca="1">IF(TYPE(VLOOKUP($A118,'2.kolo'!$L$3:$L$66,1,0))&gt;3,IF(TYPE(VLOOKUP($A118,'2.kolo'!$O$3:$Q$66,3,0))&gt;3,0,VLOOKUP($A118,'2.kolo'!$O$3:$Q$66,3,0)),VLOOKUP($A118,'2.kolo'!$L$3:$N$66,3,0))</f>
        <v>0</v>
      </c>
      <c r="AS118" s="333">
        <f t="shared" ca="1" si="54"/>
        <v>0</v>
      </c>
      <c r="AT118" s="415" t="s">
        <v>2005</v>
      </c>
      <c r="AU118" s="442" t="str">
        <f ca="1">IF(AT118="","",CONCATENATE(TEXT($O118,"0"),IF(Start.listina!$Y$5="","",TEXT(500+$P118,"000")),TEXT(999999*RAND(),"000000")))</f>
        <v/>
      </c>
      <c r="AV118" s="333">
        <f t="shared" ca="1" si="63"/>
        <v>0</v>
      </c>
      <c r="AY118" s="333" t="str">
        <f ca="1">IF(TYPE(VLOOKUP($A118,'3.kolo'!$L$3:$L$66,1,0))&gt;3,IF(TYPE(VLOOKUP($A118,'3.kolo'!$K$3:$L$66,2,0))&gt;3,0,VLOOKUP($A118,'3.kolo'!$K$3:$L$66,2,0)),VLOOKUP($A118,'3.kolo'!$L$3:$O$66,4,0))</f>
        <v/>
      </c>
      <c r="AZ118" s="333">
        <f ca="1">IF(TYPE(VLOOKUP($A118,'3.kolo'!$L$3:$L$66,1,0))&gt;3,IF(TYPE(VLOOKUP($A118,'3.kolo'!$O$3:$Q$66,2,0))&gt;3,0,VLOOKUP($A118,'3.kolo'!$O$3:$Q$66,2,0)),VLOOKUP($A118,'3.kolo'!$L$3:$N$66,2,0))</f>
        <v>0</v>
      </c>
      <c r="BA118" s="333">
        <f ca="1">IF(TYPE(VLOOKUP($A118,'3.kolo'!$L$3:$L$66,1,0))&gt;3,IF(TYPE(VLOOKUP($A118,'3.kolo'!$O$3:$Q$66,3,0))&gt;3,0,VLOOKUP($A118,'3.kolo'!$O$3:$Q$66,3,0)),VLOOKUP($A118,'3.kolo'!$L$3:$N$66,3,0))</f>
        <v>0</v>
      </c>
      <c r="BB118" s="333">
        <f t="shared" ca="1" si="55"/>
        <v>0</v>
      </c>
      <c r="BC118" s="415" t="s">
        <v>2005</v>
      </c>
      <c r="BD118" s="442" t="str">
        <f ca="1">IF(BC118="","",CONCATENATE(TEXT($O118,"0"),IF(Start.listina!$Y$5="","",TEXT(500+$P118,"000")),TEXT(999999*RAND(),"000000")))</f>
        <v/>
      </c>
      <c r="BE118" s="333">
        <f t="shared" ca="1" si="64"/>
        <v>0</v>
      </c>
      <c r="BH118" s="333" t="str">
        <f ca="1">IF(TYPE(VLOOKUP($A118,'4.kolo'!$L$3:$L$66,1,0))&gt;3,IF(TYPE(VLOOKUP($A118,'4.kolo'!$K$3:$L$66,2,0))&gt;3,0,VLOOKUP($A118,'4.kolo'!$K$3:$L$66,2,0)),VLOOKUP($A118,'4.kolo'!$L$3:$O$66,4,0))</f>
        <v/>
      </c>
      <c r="BI118" s="333">
        <f ca="1">IF(TYPE(VLOOKUP($A118,'4.kolo'!$L$3:$L$66,1,0))&gt;3,IF(TYPE(VLOOKUP($A118,'4.kolo'!$O$3:$Q$66,2,0))&gt;3,0,VLOOKUP($A118,'4.kolo'!$O$3:$Q$66,2,0)),VLOOKUP($A118,'4.kolo'!$L$3:$N$66,2,0))</f>
        <v>0</v>
      </c>
      <c r="BJ118" s="333">
        <f ca="1">IF(TYPE(VLOOKUP($A118,'4.kolo'!$L$3:$L$66,1,0))&gt;3,IF(TYPE(VLOOKUP($A118,'4.kolo'!$O$3:$Q$66,3,0))&gt;3,0,VLOOKUP($A118,'4.kolo'!$O$3:$Q$66,3,0)),VLOOKUP($A118,'4.kolo'!$L$3:$N$66,3,0))</f>
        <v>0</v>
      </c>
      <c r="BK118" s="333">
        <f t="shared" ca="1" si="56"/>
        <v>0</v>
      </c>
      <c r="BL118" s="415" t="s">
        <v>2005</v>
      </c>
      <c r="BM118" s="442" t="str">
        <f ca="1">IF(BL118="","",CONCATENATE(TEXT($O118,"0"),IF(Start.listina!$Y$5="","",TEXT(500+$P118,"000")),TEXT(999999*RAND(),"000000")))</f>
        <v/>
      </c>
      <c r="BN118" s="333">
        <f t="shared" ca="1" si="65"/>
        <v>0</v>
      </c>
      <c r="BQ118" s="333" t="str">
        <f ca="1">IF(TYPE(VLOOKUP($A118,'5.kolo'!$L$3:$L$66,1,0))&gt;3,IF(TYPE(VLOOKUP($A118,'5.kolo'!$K$3:$L$66,2,0))&gt;3,0,VLOOKUP($A118,'5.kolo'!$K$3:$L$66,2,0)),VLOOKUP($A118,'5.kolo'!$L$3:$O$66,4,0))</f>
        <v/>
      </c>
      <c r="BR118" s="333">
        <f ca="1">IF(TYPE(VLOOKUP($A118,'5.kolo'!$L$3:$L$66,1,0))&gt;3,IF(TYPE(VLOOKUP($A118,'5.kolo'!$O$3:$Q$66,2,0))&gt;3,0,VLOOKUP($A118,'5.kolo'!$O$3:$Q$66,2,0)),VLOOKUP($A118,'5.kolo'!$L$3:$N$66,2,0))</f>
        <v>0</v>
      </c>
      <c r="BS118" s="333">
        <f ca="1">IF(TYPE(VLOOKUP($A118,'5.kolo'!$L$3:$L$66,1,0))&gt;3,IF(TYPE(VLOOKUP($A118,'5.kolo'!$O$3:$Q$66,3,0))&gt;3,0,VLOOKUP($A118,'5.kolo'!$O$3:$Q$66,3,0)),VLOOKUP($A118,'5.kolo'!$L$3:$N$66,3,0))</f>
        <v>0</v>
      </c>
      <c r="BT118" s="333">
        <f t="shared" ca="1" si="57"/>
        <v>0</v>
      </c>
      <c r="BU118" s="415"/>
      <c r="BV118" s="442" t="str">
        <f ca="1">IF(BU118="","",CONCATENATE(TEXT($O118,"0"),IF(Start.listina!$Y$5="","",TEXT(500+$P118,"000")),TEXT(999999*RAND(),"000000")))</f>
        <v/>
      </c>
      <c r="BW118" s="333">
        <f t="shared" ca="1" si="66"/>
        <v>0</v>
      </c>
      <c r="BZ118" s="333" t="str">
        <f ca="1">IF(TYPE(VLOOKUP($A118,'6.kolo'!$L$3:$L$66,1,0))&gt;3,IF(TYPE(VLOOKUP($A118,'6.kolo'!$K$3:$L$66,2,0))&gt;3,0,VLOOKUP($A118,'6.kolo'!$K$3:$L$66,2,0)),VLOOKUP($A118,'6.kolo'!$L$3:$O$66,4,0))</f>
        <v/>
      </c>
      <c r="CA118" s="333">
        <f ca="1">IF(TYPE(VLOOKUP($A118,'6.kolo'!$L$3:$L$66,1,0))&gt;3,IF(TYPE(VLOOKUP($A118,'6.kolo'!$O$3:$Q$66,2,0))&gt;3,0,VLOOKUP($A118,'6.kolo'!$O$3:$Q$66,2,0)),VLOOKUP($A118,'6.kolo'!$L$3:$N$66,2,0))</f>
        <v>0</v>
      </c>
      <c r="CB118" s="333">
        <f ca="1">IF(TYPE(VLOOKUP($A118,'6.kolo'!$L$3:$L$66,1,0))&gt;3,IF(TYPE(VLOOKUP($A118,'6.kolo'!$O$3:$Q$66,3,0))&gt;3,0,VLOOKUP($A118,'6.kolo'!$O$3:$Q$66,3,0)),VLOOKUP($A118,'6.kolo'!$L$3:$N$66,3,0))</f>
        <v>0</v>
      </c>
      <c r="CC118" s="333">
        <f t="shared" ca="1" si="58"/>
        <v>0</v>
      </c>
      <c r="CD118" s="415"/>
      <c r="CE118" s="442" t="str">
        <f ca="1">IF(CD118="","",CONCATENATE(TEXT($O118,"0"),IF(Start.listina!$Y$5="","",TEXT(500+$P118,"000")),TEXT(999999*RAND(),"000000")))</f>
        <v/>
      </c>
      <c r="CF118" s="333">
        <f t="shared" ca="1" si="67"/>
        <v>0</v>
      </c>
    </row>
    <row r="119" spans="1:84" x14ac:dyDescent="0.25">
      <c r="A119" s="333" t="str">
        <f>IF(OR(Start.listina!H127&gt;Start.listina!$K$7,Start.listina!G127=TRUE),"",Start.listina!H127)</f>
        <v/>
      </c>
      <c r="B119" s="333" t="str">
        <f>IF($A119&gt;Start.listina!$K$7,"",INT(($A119-1)/Start.listina!$O$7)+1)</f>
        <v/>
      </c>
      <c r="C119" s="439" t="str">
        <f>IF(OR(Start.listina!H127&gt;Start.listina!$K$7,Start.listina!G127=TRUE)," - ",Start.listina!AL127)</f>
        <v xml:space="preserve"> - </v>
      </c>
      <c r="D119" s="333" t="str">
        <f>IF(OR(A119&gt;Start.listina!$K$7,TYPE(VLOOKUP(A119,$V$3:$X$130,3,0))&gt;3),"",VLOOKUP(A119,$V$3:$X$130,3,0))</f>
        <v/>
      </c>
      <c r="E119" s="440" t="str">
        <f>IF(A119&gt;Start.listina!$K$7,"",IF(MIN(F119:K119)&gt;Start.listina!$Y$4,D119,MIN(F119:K119)))</f>
        <v/>
      </c>
      <c r="F119" s="333">
        <f ca="1">IF(TYPE(VLOOKUP(C119,Konečné_pořadí_1_16!$B$2:$D$17,3,0))&lt;4,VLOOKUP(C119,Konečné_pořadí_1_16!$B$2:$D$17,3,0),999)</f>
        <v>999</v>
      </c>
      <c r="G119" s="333">
        <f ca="1">IF(TYPE(VLOOKUP(C119,'KO64'!$D$4:$D$129,1,0))&lt;4,64,999)</f>
        <v>64</v>
      </c>
      <c r="H119" s="333">
        <f ca="1">IF(TYPE(VLOOKUP(C119,'KO32'!$D$4:$D$65,1,0))&lt;4,32,999)</f>
        <v>32</v>
      </c>
      <c r="I119" s="333">
        <f ca="1">IF(TYPE(VLOOKUP(C119,'KO16'!$D$4:$D$33,1,0))&lt;4,16,999)</f>
        <v>999</v>
      </c>
      <c r="J119" s="333">
        <f ca="1">IF(TYPE(VLOOKUP(C119,'KO8'!$D$4:$D$17,1,0))&lt;4,8,999)</f>
        <v>999</v>
      </c>
      <c r="K119" s="333">
        <f ca="1">IF(TYPE(VLOOKUP(C119,'KO4'!$D$4:$D$9,1,0))&lt;4,4,999)</f>
        <v>999</v>
      </c>
      <c r="M119" s="334">
        <v>117</v>
      </c>
      <c r="O119" s="333">
        <f t="shared" ca="1" si="42"/>
        <v>0</v>
      </c>
      <c r="P119" s="333">
        <f t="shared" ca="1" si="43"/>
        <v>0</v>
      </c>
      <c r="Q119" s="333">
        <f t="shared" ca="1" si="60"/>
        <v>2</v>
      </c>
      <c r="R119" s="333">
        <f t="shared" ca="1" si="61"/>
        <v>0</v>
      </c>
      <c r="S119" s="333">
        <f t="shared" ca="1" si="44"/>
        <v>16</v>
      </c>
      <c r="T119" s="333">
        <f t="shared" ca="1" si="45"/>
        <v>0</v>
      </c>
      <c r="U119" s="415">
        <f t="shared" si="59"/>
        <v>117</v>
      </c>
      <c r="V119" s="415" t="s">
        <v>2005</v>
      </c>
      <c r="W119" s="441" t="str">
        <f ca="1">IF($V119="","",CONCATENATE(TEXT($O119,"0"),IF(Start.listina!$Y$5="","",TEXT(500+$P119,"0000")),IF(Start.listina!$Y$6="","",CHOOSE(Start.listina!$Y$7,TEXT($Q119,"00"),CONCATENATE(TEXT($Q119,"00"),TEXT($S119,"000")), TEXT($R119,"00"))),TEXT(500+$P119,"0000"),IF(Start.listina!$Y$8="","",TEXT($T119,"0")),TEXT(999999*RAND(),"000000")))</f>
        <v/>
      </c>
      <c r="X119" s="417">
        <f t="shared" si="46"/>
        <v>117</v>
      </c>
      <c r="Y119" s="415">
        <f t="shared" ca="1" si="62"/>
        <v>0</v>
      </c>
      <c r="Z119" s="333">
        <f t="shared" ca="1" si="47"/>
        <v>51</v>
      </c>
      <c r="AA119" s="333" t="str">
        <f t="shared" ca="1" si="48"/>
        <v/>
      </c>
      <c r="AB119" s="333" t="str">
        <f t="shared" ca="1" si="49"/>
        <v/>
      </c>
      <c r="AC119" s="333" t="str">
        <f t="shared" ca="1" si="50"/>
        <v/>
      </c>
      <c r="AD119" s="333" t="str">
        <f t="shared" ca="1" si="51"/>
        <v/>
      </c>
      <c r="AE119" s="333" t="str">
        <f t="shared" ca="1" si="52"/>
        <v/>
      </c>
      <c r="AG119" s="333">
        <f ca="1">IF(TYPE(VLOOKUP($A119,'1.kolo'!$L$3:$L$66,1,0))&gt;3,VLOOKUP($A119,'1.kolo'!$K$3:$L$66,2,0),VLOOKUP($A119,'1.kolo'!$L$3:$O$66,4,0))</f>
        <v>51</v>
      </c>
      <c r="AH119" s="333">
        <f ca="1">IF(TYPE(VLOOKUP($A119,'1.kolo'!$L$3:$L$66,1,0))&gt;3,VLOOKUP($A119,'1.kolo'!$O$3:$Q$66,2,0),VLOOKUP($A119,'1.kolo'!$L$3:$N$66,2,0))</f>
        <v>0</v>
      </c>
      <c r="AI119" s="333">
        <f ca="1">IF(TYPE(VLOOKUP($A119,'1.kolo'!$L$3:$L$66,1,0))&gt;3,VLOOKUP($A119,'1.kolo'!$O$3:$Q$66,3,0),VLOOKUP($A119,'1.kolo'!$L$3:$N$66,3,0))</f>
        <v>0</v>
      </c>
      <c r="AJ119" s="333">
        <f t="shared" ca="1" si="53"/>
        <v>0</v>
      </c>
      <c r="AK119" s="333">
        <v>117</v>
      </c>
      <c r="AL119" s="442"/>
      <c r="AP119" s="333" t="str">
        <f ca="1">IF(TYPE(VLOOKUP($A119,'2.kolo'!$L$3:$L$66,1,0))&gt;3,IF(TYPE(VLOOKUP($A119,'2.kolo'!$K$3:$L$66,2,0))&gt;3,0,VLOOKUP($A119,'2.kolo'!$K$3:$L$66,2,0)),VLOOKUP($A119,'2.kolo'!$L$3:$O$66,4,0))</f>
        <v/>
      </c>
      <c r="AQ119" s="333">
        <f ca="1">IF(TYPE(VLOOKUP($A119,'2.kolo'!$L$3:$L$66,1,0))&gt;3,IF(TYPE(VLOOKUP($A119,'2.kolo'!$O$3:$Q$66,2,0))&gt;3,0,VLOOKUP($A119,'2.kolo'!$O$3:$Q$66,2,0)),VLOOKUP($A119,'2.kolo'!$L$3:$N$66,2,0))</f>
        <v>0</v>
      </c>
      <c r="AR119" s="333">
        <f ca="1">IF(TYPE(VLOOKUP($A119,'2.kolo'!$L$3:$L$66,1,0))&gt;3,IF(TYPE(VLOOKUP($A119,'2.kolo'!$O$3:$Q$66,3,0))&gt;3,0,VLOOKUP($A119,'2.kolo'!$O$3:$Q$66,3,0)),VLOOKUP($A119,'2.kolo'!$L$3:$N$66,3,0))</f>
        <v>0</v>
      </c>
      <c r="AS119" s="333">
        <f t="shared" ca="1" si="54"/>
        <v>0</v>
      </c>
      <c r="AT119" s="415" t="s">
        <v>2005</v>
      </c>
      <c r="AU119" s="442" t="str">
        <f ca="1">IF(AT119="","",CONCATENATE(TEXT($O119,"0"),IF(Start.listina!$Y$5="","",TEXT(500+$P119,"000")),TEXT(999999*RAND(),"000000")))</f>
        <v/>
      </c>
      <c r="AV119" s="333">
        <f t="shared" ca="1" si="63"/>
        <v>0</v>
      </c>
      <c r="AY119" s="333" t="str">
        <f ca="1">IF(TYPE(VLOOKUP($A119,'3.kolo'!$L$3:$L$66,1,0))&gt;3,IF(TYPE(VLOOKUP($A119,'3.kolo'!$K$3:$L$66,2,0))&gt;3,0,VLOOKUP($A119,'3.kolo'!$K$3:$L$66,2,0)),VLOOKUP($A119,'3.kolo'!$L$3:$O$66,4,0))</f>
        <v/>
      </c>
      <c r="AZ119" s="333">
        <f ca="1">IF(TYPE(VLOOKUP($A119,'3.kolo'!$L$3:$L$66,1,0))&gt;3,IF(TYPE(VLOOKUP($A119,'3.kolo'!$O$3:$Q$66,2,0))&gt;3,0,VLOOKUP($A119,'3.kolo'!$O$3:$Q$66,2,0)),VLOOKUP($A119,'3.kolo'!$L$3:$N$66,2,0))</f>
        <v>0</v>
      </c>
      <c r="BA119" s="333">
        <f ca="1">IF(TYPE(VLOOKUP($A119,'3.kolo'!$L$3:$L$66,1,0))&gt;3,IF(TYPE(VLOOKUP($A119,'3.kolo'!$O$3:$Q$66,3,0))&gt;3,0,VLOOKUP($A119,'3.kolo'!$O$3:$Q$66,3,0)),VLOOKUP($A119,'3.kolo'!$L$3:$N$66,3,0))</f>
        <v>0</v>
      </c>
      <c r="BB119" s="333">
        <f t="shared" ca="1" si="55"/>
        <v>0</v>
      </c>
      <c r="BC119" s="415" t="s">
        <v>2005</v>
      </c>
      <c r="BD119" s="442" t="str">
        <f ca="1">IF(BC119="","",CONCATENATE(TEXT($O119,"0"),IF(Start.listina!$Y$5="","",TEXT(500+$P119,"000")),TEXT(999999*RAND(),"000000")))</f>
        <v/>
      </c>
      <c r="BE119" s="333">
        <f t="shared" ca="1" si="64"/>
        <v>0</v>
      </c>
      <c r="BH119" s="333" t="str">
        <f ca="1">IF(TYPE(VLOOKUP($A119,'4.kolo'!$L$3:$L$66,1,0))&gt;3,IF(TYPE(VLOOKUP($A119,'4.kolo'!$K$3:$L$66,2,0))&gt;3,0,VLOOKUP($A119,'4.kolo'!$K$3:$L$66,2,0)),VLOOKUP($A119,'4.kolo'!$L$3:$O$66,4,0))</f>
        <v/>
      </c>
      <c r="BI119" s="333">
        <f ca="1">IF(TYPE(VLOOKUP($A119,'4.kolo'!$L$3:$L$66,1,0))&gt;3,IF(TYPE(VLOOKUP($A119,'4.kolo'!$O$3:$Q$66,2,0))&gt;3,0,VLOOKUP($A119,'4.kolo'!$O$3:$Q$66,2,0)),VLOOKUP($A119,'4.kolo'!$L$3:$N$66,2,0))</f>
        <v>0</v>
      </c>
      <c r="BJ119" s="333">
        <f ca="1">IF(TYPE(VLOOKUP($A119,'4.kolo'!$L$3:$L$66,1,0))&gt;3,IF(TYPE(VLOOKUP($A119,'4.kolo'!$O$3:$Q$66,3,0))&gt;3,0,VLOOKUP($A119,'4.kolo'!$O$3:$Q$66,3,0)),VLOOKUP($A119,'4.kolo'!$L$3:$N$66,3,0))</f>
        <v>0</v>
      </c>
      <c r="BK119" s="333">
        <f t="shared" ca="1" si="56"/>
        <v>0</v>
      </c>
      <c r="BL119" s="415" t="s">
        <v>2005</v>
      </c>
      <c r="BM119" s="442" t="str">
        <f ca="1">IF(BL119="","",CONCATENATE(TEXT($O119,"0"),IF(Start.listina!$Y$5="","",TEXT(500+$P119,"000")),TEXT(999999*RAND(),"000000")))</f>
        <v/>
      </c>
      <c r="BN119" s="333">
        <f t="shared" ca="1" si="65"/>
        <v>0</v>
      </c>
      <c r="BQ119" s="333" t="str">
        <f ca="1">IF(TYPE(VLOOKUP($A119,'5.kolo'!$L$3:$L$66,1,0))&gt;3,IF(TYPE(VLOOKUP($A119,'5.kolo'!$K$3:$L$66,2,0))&gt;3,0,VLOOKUP($A119,'5.kolo'!$K$3:$L$66,2,0)),VLOOKUP($A119,'5.kolo'!$L$3:$O$66,4,0))</f>
        <v/>
      </c>
      <c r="BR119" s="333">
        <f ca="1">IF(TYPE(VLOOKUP($A119,'5.kolo'!$L$3:$L$66,1,0))&gt;3,IF(TYPE(VLOOKUP($A119,'5.kolo'!$O$3:$Q$66,2,0))&gt;3,0,VLOOKUP($A119,'5.kolo'!$O$3:$Q$66,2,0)),VLOOKUP($A119,'5.kolo'!$L$3:$N$66,2,0))</f>
        <v>0</v>
      </c>
      <c r="BS119" s="333">
        <f ca="1">IF(TYPE(VLOOKUP($A119,'5.kolo'!$L$3:$L$66,1,0))&gt;3,IF(TYPE(VLOOKUP($A119,'5.kolo'!$O$3:$Q$66,3,0))&gt;3,0,VLOOKUP($A119,'5.kolo'!$O$3:$Q$66,3,0)),VLOOKUP($A119,'5.kolo'!$L$3:$N$66,3,0))</f>
        <v>0</v>
      </c>
      <c r="BT119" s="333">
        <f t="shared" ca="1" si="57"/>
        <v>0</v>
      </c>
      <c r="BU119" s="415"/>
      <c r="BV119" s="442" t="str">
        <f ca="1">IF(BU119="","",CONCATENATE(TEXT($O119,"0"),IF(Start.listina!$Y$5="","",TEXT(500+$P119,"000")),TEXT(999999*RAND(),"000000")))</f>
        <v/>
      </c>
      <c r="BW119" s="333">
        <f t="shared" ca="1" si="66"/>
        <v>0</v>
      </c>
      <c r="BZ119" s="333" t="str">
        <f ca="1">IF(TYPE(VLOOKUP($A119,'6.kolo'!$L$3:$L$66,1,0))&gt;3,IF(TYPE(VLOOKUP($A119,'6.kolo'!$K$3:$L$66,2,0))&gt;3,0,VLOOKUP($A119,'6.kolo'!$K$3:$L$66,2,0)),VLOOKUP($A119,'6.kolo'!$L$3:$O$66,4,0))</f>
        <v/>
      </c>
      <c r="CA119" s="333">
        <f ca="1">IF(TYPE(VLOOKUP($A119,'6.kolo'!$L$3:$L$66,1,0))&gt;3,IF(TYPE(VLOOKUP($A119,'6.kolo'!$O$3:$Q$66,2,0))&gt;3,0,VLOOKUP($A119,'6.kolo'!$O$3:$Q$66,2,0)),VLOOKUP($A119,'6.kolo'!$L$3:$N$66,2,0))</f>
        <v>0</v>
      </c>
      <c r="CB119" s="333">
        <f ca="1">IF(TYPE(VLOOKUP($A119,'6.kolo'!$L$3:$L$66,1,0))&gt;3,IF(TYPE(VLOOKUP($A119,'6.kolo'!$O$3:$Q$66,3,0))&gt;3,0,VLOOKUP($A119,'6.kolo'!$O$3:$Q$66,3,0)),VLOOKUP($A119,'6.kolo'!$L$3:$N$66,3,0))</f>
        <v>0</v>
      </c>
      <c r="CC119" s="333">
        <f t="shared" ca="1" si="58"/>
        <v>0</v>
      </c>
      <c r="CD119" s="415"/>
      <c r="CE119" s="442" t="str">
        <f ca="1">IF(CD119="","",CONCATENATE(TEXT($O119,"0"),IF(Start.listina!$Y$5="","",TEXT(500+$P119,"000")),TEXT(999999*RAND(),"000000")))</f>
        <v/>
      </c>
      <c r="CF119" s="333">
        <f t="shared" ca="1" si="67"/>
        <v>0</v>
      </c>
    </row>
    <row r="120" spans="1:84" x14ac:dyDescent="0.25">
      <c r="A120" s="333" t="str">
        <f>IF(OR(Start.listina!H128&gt;Start.listina!$K$7,Start.listina!G128=TRUE),"",Start.listina!H128)</f>
        <v/>
      </c>
      <c r="B120" s="333" t="str">
        <f>IF($A120&gt;Start.listina!$K$7,"",INT(($A120-1)/Start.listina!$O$7)+1)</f>
        <v/>
      </c>
      <c r="C120" s="439" t="str">
        <f>IF(OR(Start.listina!H128&gt;Start.listina!$K$7,Start.listina!G128=TRUE)," - ",Start.listina!AL128)</f>
        <v xml:space="preserve"> - </v>
      </c>
      <c r="D120" s="333" t="str">
        <f>IF(OR(A120&gt;Start.listina!$K$7,TYPE(VLOOKUP(A120,$V$3:$X$130,3,0))&gt;3),"",VLOOKUP(A120,$V$3:$X$130,3,0))</f>
        <v/>
      </c>
      <c r="E120" s="440" t="str">
        <f>IF(A120&gt;Start.listina!$K$7,"",IF(MIN(F120:K120)&gt;Start.listina!$Y$4,D120,MIN(F120:K120)))</f>
        <v/>
      </c>
      <c r="F120" s="333">
        <f ca="1">IF(TYPE(VLOOKUP(C120,Konečné_pořadí_1_16!$B$2:$D$17,3,0))&lt;4,VLOOKUP(C120,Konečné_pořadí_1_16!$B$2:$D$17,3,0),999)</f>
        <v>999</v>
      </c>
      <c r="G120" s="333">
        <f ca="1">IF(TYPE(VLOOKUP(C120,'KO64'!$D$4:$D$129,1,0))&lt;4,64,999)</f>
        <v>64</v>
      </c>
      <c r="H120" s="333">
        <f ca="1">IF(TYPE(VLOOKUP(C120,'KO32'!$D$4:$D$65,1,0))&lt;4,32,999)</f>
        <v>32</v>
      </c>
      <c r="I120" s="333">
        <f ca="1">IF(TYPE(VLOOKUP(C120,'KO16'!$D$4:$D$33,1,0))&lt;4,16,999)</f>
        <v>999</v>
      </c>
      <c r="J120" s="333">
        <f ca="1">IF(TYPE(VLOOKUP(C120,'KO8'!$D$4:$D$17,1,0))&lt;4,8,999)</f>
        <v>999</v>
      </c>
      <c r="K120" s="333">
        <f ca="1">IF(TYPE(VLOOKUP(C120,'KO4'!$D$4:$D$9,1,0))&lt;4,4,999)</f>
        <v>999</v>
      </c>
      <c r="M120" s="334">
        <v>118</v>
      </c>
      <c r="O120" s="333">
        <f t="shared" ca="1" si="42"/>
        <v>0</v>
      </c>
      <c r="P120" s="333">
        <f t="shared" ca="1" si="43"/>
        <v>0</v>
      </c>
      <c r="Q120" s="333">
        <f t="shared" ca="1" si="60"/>
        <v>2</v>
      </c>
      <c r="R120" s="333">
        <f t="shared" ca="1" si="61"/>
        <v>0</v>
      </c>
      <c r="S120" s="333">
        <f t="shared" ca="1" si="44"/>
        <v>16</v>
      </c>
      <c r="T120" s="333">
        <f t="shared" ca="1" si="45"/>
        <v>0</v>
      </c>
      <c r="U120" s="415">
        <f t="shared" si="59"/>
        <v>118</v>
      </c>
      <c r="V120" s="415" t="s">
        <v>2005</v>
      </c>
      <c r="W120" s="441" t="str">
        <f ca="1">IF($V120="","",CONCATENATE(TEXT($O120,"0"),IF(Start.listina!$Y$5="","",TEXT(500+$P120,"0000")),IF(Start.listina!$Y$6="","",CHOOSE(Start.listina!$Y$7,TEXT($Q120,"00"),CONCATENATE(TEXT($Q120,"00"),TEXT($S120,"000")), TEXT($R120,"00"))),TEXT(500+$P120,"0000"),IF(Start.listina!$Y$8="","",TEXT($T120,"0")),TEXT(999999*RAND(),"000000")))</f>
        <v/>
      </c>
      <c r="X120" s="417">
        <f t="shared" si="46"/>
        <v>118</v>
      </c>
      <c r="Y120" s="415">
        <f t="shared" ca="1" si="62"/>
        <v>0</v>
      </c>
      <c r="Z120" s="333">
        <f t="shared" ca="1" si="47"/>
        <v>51</v>
      </c>
      <c r="AA120" s="333" t="str">
        <f t="shared" ca="1" si="48"/>
        <v/>
      </c>
      <c r="AB120" s="333" t="str">
        <f t="shared" ca="1" si="49"/>
        <v/>
      </c>
      <c r="AC120" s="333" t="str">
        <f t="shared" ca="1" si="50"/>
        <v/>
      </c>
      <c r="AD120" s="333" t="str">
        <f t="shared" ca="1" si="51"/>
        <v/>
      </c>
      <c r="AE120" s="333" t="str">
        <f t="shared" ca="1" si="52"/>
        <v/>
      </c>
      <c r="AG120" s="333">
        <f ca="1">IF(TYPE(VLOOKUP($A120,'1.kolo'!$L$3:$L$66,1,0))&gt;3,VLOOKUP($A120,'1.kolo'!$K$3:$L$66,2,0),VLOOKUP($A120,'1.kolo'!$L$3:$O$66,4,0))</f>
        <v>51</v>
      </c>
      <c r="AH120" s="333">
        <f ca="1">IF(TYPE(VLOOKUP($A120,'1.kolo'!$L$3:$L$66,1,0))&gt;3,VLOOKUP($A120,'1.kolo'!$O$3:$Q$66,2,0),VLOOKUP($A120,'1.kolo'!$L$3:$N$66,2,0))</f>
        <v>0</v>
      </c>
      <c r="AI120" s="333">
        <f ca="1">IF(TYPE(VLOOKUP($A120,'1.kolo'!$L$3:$L$66,1,0))&gt;3,VLOOKUP($A120,'1.kolo'!$O$3:$Q$66,3,0),VLOOKUP($A120,'1.kolo'!$L$3:$N$66,3,0))</f>
        <v>0</v>
      </c>
      <c r="AJ120" s="333">
        <f t="shared" ca="1" si="53"/>
        <v>0</v>
      </c>
      <c r="AK120" s="333">
        <v>118</v>
      </c>
      <c r="AL120" s="442"/>
      <c r="AP120" s="333" t="str">
        <f ca="1">IF(TYPE(VLOOKUP($A120,'2.kolo'!$L$3:$L$66,1,0))&gt;3,IF(TYPE(VLOOKUP($A120,'2.kolo'!$K$3:$L$66,2,0))&gt;3,0,VLOOKUP($A120,'2.kolo'!$K$3:$L$66,2,0)),VLOOKUP($A120,'2.kolo'!$L$3:$O$66,4,0))</f>
        <v/>
      </c>
      <c r="AQ120" s="333">
        <f ca="1">IF(TYPE(VLOOKUP($A120,'2.kolo'!$L$3:$L$66,1,0))&gt;3,IF(TYPE(VLOOKUP($A120,'2.kolo'!$O$3:$Q$66,2,0))&gt;3,0,VLOOKUP($A120,'2.kolo'!$O$3:$Q$66,2,0)),VLOOKUP($A120,'2.kolo'!$L$3:$N$66,2,0))</f>
        <v>0</v>
      </c>
      <c r="AR120" s="333">
        <f ca="1">IF(TYPE(VLOOKUP($A120,'2.kolo'!$L$3:$L$66,1,0))&gt;3,IF(TYPE(VLOOKUP($A120,'2.kolo'!$O$3:$Q$66,3,0))&gt;3,0,VLOOKUP($A120,'2.kolo'!$O$3:$Q$66,3,0)),VLOOKUP($A120,'2.kolo'!$L$3:$N$66,3,0))</f>
        <v>0</v>
      </c>
      <c r="AS120" s="333">
        <f t="shared" ca="1" si="54"/>
        <v>0</v>
      </c>
      <c r="AT120" s="415" t="s">
        <v>2005</v>
      </c>
      <c r="AU120" s="442" t="str">
        <f ca="1">IF(AT120="","",CONCATENATE(TEXT($O120,"0"),IF(Start.listina!$Y$5="","",TEXT(500+$P120,"000")),TEXT(999999*RAND(),"000000")))</f>
        <v/>
      </c>
      <c r="AV120" s="333">
        <f t="shared" ca="1" si="63"/>
        <v>0</v>
      </c>
      <c r="AY120" s="333" t="str">
        <f ca="1">IF(TYPE(VLOOKUP($A120,'3.kolo'!$L$3:$L$66,1,0))&gt;3,IF(TYPE(VLOOKUP($A120,'3.kolo'!$K$3:$L$66,2,0))&gt;3,0,VLOOKUP($A120,'3.kolo'!$K$3:$L$66,2,0)),VLOOKUP($A120,'3.kolo'!$L$3:$O$66,4,0))</f>
        <v/>
      </c>
      <c r="AZ120" s="333">
        <f ca="1">IF(TYPE(VLOOKUP($A120,'3.kolo'!$L$3:$L$66,1,0))&gt;3,IF(TYPE(VLOOKUP($A120,'3.kolo'!$O$3:$Q$66,2,0))&gt;3,0,VLOOKUP($A120,'3.kolo'!$O$3:$Q$66,2,0)),VLOOKUP($A120,'3.kolo'!$L$3:$N$66,2,0))</f>
        <v>0</v>
      </c>
      <c r="BA120" s="333">
        <f ca="1">IF(TYPE(VLOOKUP($A120,'3.kolo'!$L$3:$L$66,1,0))&gt;3,IF(TYPE(VLOOKUP($A120,'3.kolo'!$O$3:$Q$66,3,0))&gt;3,0,VLOOKUP($A120,'3.kolo'!$O$3:$Q$66,3,0)),VLOOKUP($A120,'3.kolo'!$L$3:$N$66,3,0))</f>
        <v>0</v>
      </c>
      <c r="BB120" s="333">
        <f t="shared" ca="1" si="55"/>
        <v>0</v>
      </c>
      <c r="BC120" s="415" t="s">
        <v>2005</v>
      </c>
      <c r="BD120" s="442" t="str">
        <f ca="1">IF(BC120="","",CONCATENATE(TEXT($O120,"0"),IF(Start.listina!$Y$5="","",TEXT(500+$P120,"000")),TEXT(999999*RAND(),"000000")))</f>
        <v/>
      </c>
      <c r="BE120" s="333">
        <f t="shared" ca="1" si="64"/>
        <v>0</v>
      </c>
      <c r="BH120" s="333" t="str">
        <f ca="1">IF(TYPE(VLOOKUP($A120,'4.kolo'!$L$3:$L$66,1,0))&gt;3,IF(TYPE(VLOOKUP($A120,'4.kolo'!$K$3:$L$66,2,0))&gt;3,0,VLOOKUP($A120,'4.kolo'!$K$3:$L$66,2,0)),VLOOKUP($A120,'4.kolo'!$L$3:$O$66,4,0))</f>
        <v/>
      </c>
      <c r="BI120" s="333">
        <f ca="1">IF(TYPE(VLOOKUP($A120,'4.kolo'!$L$3:$L$66,1,0))&gt;3,IF(TYPE(VLOOKUP($A120,'4.kolo'!$O$3:$Q$66,2,0))&gt;3,0,VLOOKUP($A120,'4.kolo'!$O$3:$Q$66,2,0)),VLOOKUP($A120,'4.kolo'!$L$3:$N$66,2,0))</f>
        <v>0</v>
      </c>
      <c r="BJ120" s="333">
        <f ca="1">IF(TYPE(VLOOKUP($A120,'4.kolo'!$L$3:$L$66,1,0))&gt;3,IF(TYPE(VLOOKUP($A120,'4.kolo'!$O$3:$Q$66,3,0))&gt;3,0,VLOOKUP($A120,'4.kolo'!$O$3:$Q$66,3,0)),VLOOKUP($A120,'4.kolo'!$L$3:$N$66,3,0))</f>
        <v>0</v>
      </c>
      <c r="BK120" s="333">
        <f t="shared" ca="1" si="56"/>
        <v>0</v>
      </c>
      <c r="BL120" s="415" t="s">
        <v>2005</v>
      </c>
      <c r="BM120" s="442" t="str">
        <f ca="1">IF(BL120="","",CONCATENATE(TEXT($O120,"0"),IF(Start.listina!$Y$5="","",TEXT(500+$P120,"000")),TEXT(999999*RAND(),"000000")))</f>
        <v/>
      </c>
      <c r="BN120" s="333">
        <f t="shared" ca="1" si="65"/>
        <v>0</v>
      </c>
      <c r="BQ120" s="333" t="str">
        <f ca="1">IF(TYPE(VLOOKUP($A120,'5.kolo'!$L$3:$L$66,1,0))&gt;3,IF(TYPE(VLOOKUP($A120,'5.kolo'!$K$3:$L$66,2,0))&gt;3,0,VLOOKUP($A120,'5.kolo'!$K$3:$L$66,2,0)),VLOOKUP($A120,'5.kolo'!$L$3:$O$66,4,0))</f>
        <v/>
      </c>
      <c r="BR120" s="333">
        <f ca="1">IF(TYPE(VLOOKUP($A120,'5.kolo'!$L$3:$L$66,1,0))&gt;3,IF(TYPE(VLOOKUP($A120,'5.kolo'!$O$3:$Q$66,2,0))&gt;3,0,VLOOKUP($A120,'5.kolo'!$O$3:$Q$66,2,0)),VLOOKUP($A120,'5.kolo'!$L$3:$N$66,2,0))</f>
        <v>0</v>
      </c>
      <c r="BS120" s="333">
        <f ca="1">IF(TYPE(VLOOKUP($A120,'5.kolo'!$L$3:$L$66,1,0))&gt;3,IF(TYPE(VLOOKUP($A120,'5.kolo'!$O$3:$Q$66,3,0))&gt;3,0,VLOOKUP($A120,'5.kolo'!$O$3:$Q$66,3,0)),VLOOKUP($A120,'5.kolo'!$L$3:$N$66,3,0))</f>
        <v>0</v>
      </c>
      <c r="BT120" s="333">
        <f t="shared" ca="1" si="57"/>
        <v>0</v>
      </c>
      <c r="BU120" s="415"/>
      <c r="BV120" s="442" t="str">
        <f ca="1">IF(BU120="","",CONCATENATE(TEXT($O120,"0"),IF(Start.listina!$Y$5="","",TEXT(500+$P120,"000")),TEXT(999999*RAND(),"000000")))</f>
        <v/>
      </c>
      <c r="BW120" s="333">
        <f t="shared" ca="1" si="66"/>
        <v>0</v>
      </c>
      <c r="BZ120" s="333" t="str">
        <f ca="1">IF(TYPE(VLOOKUP($A120,'6.kolo'!$L$3:$L$66,1,0))&gt;3,IF(TYPE(VLOOKUP($A120,'6.kolo'!$K$3:$L$66,2,0))&gt;3,0,VLOOKUP($A120,'6.kolo'!$K$3:$L$66,2,0)),VLOOKUP($A120,'6.kolo'!$L$3:$O$66,4,0))</f>
        <v/>
      </c>
      <c r="CA120" s="333">
        <f ca="1">IF(TYPE(VLOOKUP($A120,'6.kolo'!$L$3:$L$66,1,0))&gt;3,IF(TYPE(VLOOKUP($A120,'6.kolo'!$O$3:$Q$66,2,0))&gt;3,0,VLOOKUP($A120,'6.kolo'!$O$3:$Q$66,2,0)),VLOOKUP($A120,'6.kolo'!$L$3:$N$66,2,0))</f>
        <v>0</v>
      </c>
      <c r="CB120" s="333">
        <f ca="1">IF(TYPE(VLOOKUP($A120,'6.kolo'!$L$3:$L$66,1,0))&gt;3,IF(TYPE(VLOOKUP($A120,'6.kolo'!$O$3:$Q$66,3,0))&gt;3,0,VLOOKUP($A120,'6.kolo'!$O$3:$Q$66,3,0)),VLOOKUP($A120,'6.kolo'!$L$3:$N$66,3,0))</f>
        <v>0</v>
      </c>
      <c r="CC120" s="333">
        <f t="shared" ca="1" si="58"/>
        <v>0</v>
      </c>
      <c r="CD120" s="415"/>
      <c r="CE120" s="442" t="str">
        <f ca="1">IF(CD120="","",CONCATENATE(TEXT($O120,"0"),IF(Start.listina!$Y$5="","",TEXT(500+$P120,"000")),TEXT(999999*RAND(),"000000")))</f>
        <v/>
      </c>
      <c r="CF120" s="333">
        <f t="shared" ca="1" si="67"/>
        <v>0</v>
      </c>
    </row>
    <row r="121" spans="1:84" x14ac:dyDescent="0.25">
      <c r="A121" s="333" t="str">
        <f>IF(OR(Start.listina!H129&gt;Start.listina!$K$7,Start.listina!G129=TRUE),"",Start.listina!H129)</f>
        <v/>
      </c>
      <c r="B121" s="333" t="str">
        <f>IF($A121&gt;Start.listina!$K$7,"",INT(($A121-1)/Start.listina!$O$7)+1)</f>
        <v/>
      </c>
      <c r="C121" s="439" t="str">
        <f>IF(OR(Start.listina!H129&gt;Start.listina!$K$7,Start.listina!G129=TRUE)," - ",Start.listina!AL129)</f>
        <v xml:space="preserve"> - </v>
      </c>
      <c r="D121" s="333" t="str">
        <f>IF(OR(A121&gt;Start.listina!$K$7,TYPE(VLOOKUP(A121,$V$3:$X$130,3,0))&gt;3),"",VLOOKUP(A121,$V$3:$X$130,3,0))</f>
        <v/>
      </c>
      <c r="E121" s="440" t="str">
        <f>IF(A121&gt;Start.listina!$K$7,"",IF(MIN(F121:K121)&gt;Start.listina!$Y$4,D121,MIN(F121:K121)))</f>
        <v/>
      </c>
      <c r="F121" s="333">
        <f ca="1">IF(TYPE(VLOOKUP(C121,Konečné_pořadí_1_16!$B$2:$D$17,3,0))&lt;4,VLOOKUP(C121,Konečné_pořadí_1_16!$B$2:$D$17,3,0),999)</f>
        <v>999</v>
      </c>
      <c r="G121" s="333">
        <f ca="1">IF(TYPE(VLOOKUP(C121,'KO64'!$D$4:$D$129,1,0))&lt;4,64,999)</f>
        <v>64</v>
      </c>
      <c r="H121" s="333">
        <f ca="1">IF(TYPE(VLOOKUP(C121,'KO32'!$D$4:$D$65,1,0))&lt;4,32,999)</f>
        <v>32</v>
      </c>
      <c r="I121" s="333">
        <f ca="1">IF(TYPE(VLOOKUP(C121,'KO16'!$D$4:$D$33,1,0))&lt;4,16,999)</f>
        <v>999</v>
      </c>
      <c r="J121" s="333">
        <f ca="1">IF(TYPE(VLOOKUP(C121,'KO8'!$D$4:$D$17,1,0))&lt;4,8,999)</f>
        <v>999</v>
      </c>
      <c r="K121" s="333">
        <f ca="1">IF(TYPE(VLOOKUP(C121,'KO4'!$D$4:$D$9,1,0))&lt;4,4,999)</f>
        <v>999</v>
      </c>
      <c r="M121" s="334">
        <v>119</v>
      </c>
      <c r="O121" s="333">
        <f t="shared" ca="1" si="42"/>
        <v>0</v>
      </c>
      <c r="P121" s="333">
        <f t="shared" ca="1" si="43"/>
        <v>0</v>
      </c>
      <c r="Q121" s="333">
        <f t="shared" ca="1" si="60"/>
        <v>2</v>
      </c>
      <c r="R121" s="333">
        <f t="shared" ca="1" si="61"/>
        <v>0</v>
      </c>
      <c r="S121" s="333">
        <f t="shared" ca="1" si="44"/>
        <v>16</v>
      </c>
      <c r="T121" s="333">
        <f t="shared" ca="1" si="45"/>
        <v>0</v>
      </c>
      <c r="U121" s="415">
        <f t="shared" si="59"/>
        <v>119</v>
      </c>
      <c r="V121" s="415" t="s">
        <v>2005</v>
      </c>
      <c r="W121" s="441" t="str">
        <f ca="1">IF($V121="","",CONCATENATE(TEXT($O121,"0"),IF(Start.listina!$Y$5="","",TEXT(500+$P121,"0000")),IF(Start.listina!$Y$6="","",CHOOSE(Start.listina!$Y$7,TEXT($Q121,"00"),CONCATENATE(TEXT($Q121,"00"),TEXT($S121,"000")), TEXT($R121,"00"))),TEXT(500+$P121,"0000"),IF(Start.listina!$Y$8="","",TEXT($T121,"0")),TEXT(999999*RAND(),"000000")))</f>
        <v/>
      </c>
      <c r="X121" s="417">
        <f t="shared" si="46"/>
        <v>119</v>
      </c>
      <c r="Y121" s="415">
        <f t="shared" ca="1" si="62"/>
        <v>0</v>
      </c>
      <c r="Z121" s="333">
        <f t="shared" ca="1" si="47"/>
        <v>51</v>
      </c>
      <c r="AA121" s="333" t="str">
        <f t="shared" ca="1" si="48"/>
        <v/>
      </c>
      <c r="AB121" s="333" t="str">
        <f t="shared" ca="1" si="49"/>
        <v/>
      </c>
      <c r="AC121" s="333" t="str">
        <f t="shared" ca="1" si="50"/>
        <v/>
      </c>
      <c r="AD121" s="333" t="str">
        <f t="shared" ca="1" si="51"/>
        <v/>
      </c>
      <c r="AE121" s="333" t="str">
        <f t="shared" ca="1" si="52"/>
        <v/>
      </c>
      <c r="AG121" s="333">
        <f ca="1">IF(TYPE(VLOOKUP($A121,'1.kolo'!$L$3:$L$66,1,0))&gt;3,VLOOKUP($A121,'1.kolo'!$K$3:$L$66,2,0),VLOOKUP($A121,'1.kolo'!$L$3:$O$66,4,0))</f>
        <v>51</v>
      </c>
      <c r="AH121" s="333">
        <f ca="1">IF(TYPE(VLOOKUP($A121,'1.kolo'!$L$3:$L$66,1,0))&gt;3,VLOOKUP($A121,'1.kolo'!$O$3:$Q$66,2,0),VLOOKUP($A121,'1.kolo'!$L$3:$N$66,2,0))</f>
        <v>0</v>
      </c>
      <c r="AI121" s="333">
        <f ca="1">IF(TYPE(VLOOKUP($A121,'1.kolo'!$L$3:$L$66,1,0))&gt;3,VLOOKUP($A121,'1.kolo'!$O$3:$Q$66,3,0),VLOOKUP($A121,'1.kolo'!$L$3:$N$66,3,0))</f>
        <v>0</v>
      </c>
      <c r="AJ121" s="333">
        <f t="shared" ca="1" si="53"/>
        <v>0</v>
      </c>
      <c r="AK121" s="333">
        <v>119</v>
      </c>
      <c r="AL121" s="442"/>
      <c r="AP121" s="333" t="str">
        <f ca="1">IF(TYPE(VLOOKUP($A121,'2.kolo'!$L$3:$L$66,1,0))&gt;3,IF(TYPE(VLOOKUP($A121,'2.kolo'!$K$3:$L$66,2,0))&gt;3,0,VLOOKUP($A121,'2.kolo'!$K$3:$L$66,2,0)),VLOOKUP($A121,'2.kolo'!$L$3:$O$66,4,0))</f>
        <v/>
      </c>
      <c r="AQ121" s="333">
        <f ca="1">IF(TYPE(VLOOKUP($A121,'2.kolo'!$L$3:$L$66,1,0))&gt;3,IF(TYPE(VLOOKUP($A121,'2.kolo'!$O$3:$Q$66,2,0))&gt;3,0,VLOOKUP($A121,'2.kolo'!$O$3:$Q$66,2,0)),VLOOKUP($A121,'2.kolo'!$L$3:$N$66,2,0))</f>
        <v>0</v>
      </c>
      <c r="AR121" s="333">
        <f ca="1">IF(TYPE(VLOOKUP($A121,'2.kolo'!$L$3:$L$66,1,0))&gt;3,IF(TYPE(VLOOKUP($A121,'2.kolo'!$O$3:$Q$66,3,0))&gt;3,0,VLOOKUP($A121,'2.kolo'!$O$3:$Q$66,3,0)),VLOOKUP($A121,'2.kolo'!$L$3:$N$66,3,0))</f>
        <v>0</v>
      </c>
      <c r="AS121" s="333">
        <f t="shared" ca="1" si="54"/>
        <v>0</v>
      </c>
      <c r="AT121" s="415" t="s">
        <v>2005</v>
      </c>
      <c r="AU121" s="442" t="str">
        <f ca="1">IF(AT121="","",CONCATENATE(TEXT($O121,"0"),IF(Start.listina!$Y$5="","",TEXT(500+$P121,"000")),TEXT(999999*RAND(),"000000")))</f>
        <v/>
      </c>
      <c r="AV121" s="333">
        <f t="shared" ca="1" si="63"/>
        <v>0</v>
      </c>
      <c r="AY121" s="333" t="str">
        <f ca="1">IF(TYPE(VLOOKUP($A121,'3.kolo'!$L$3:$L$66,1,0))&gt;3,IF(TYPE(VLOOKUP($A121,'3.kolo'!$K$3:$L$66,2,0))&gt;3,0,VLOOKUP($A121,'3.kolo'!$K$3:$L$66,2,0)),VLOOKUP($A121,'3.kolo'!$L$3:$O$66,4,0))</f>
        <v/>
      </c>
      <c r="AZ121" s="333">
        <f ca="1">IF(TYPE(VLOOKUP($A121,'3.kolo'!$L$3:$L$66,1,0))&gt;3,IF(TYPE(VLOOKUP($A121,'3.kolo'!$O$3:$Q$66,2,0))&gt;3,0,VLOOKUP($A121,'3.kolo'!$O$3:$Q$66,2,0)),VLOOKUP($A121,'3.kolo'!$L$3:$N$66,2,0))</f>
        <v>0</v>
      </c>
      <c r="BA121" s="333">
        <f ca="1">IF(TYPE(VLOOKUP($A121,'3.kolo'!$L$3:$L$66,1,0))&gt;3,IF(TYPE(VLOOKUP($A121,'3.kolo'!$O$3:$Q$66,3,0))&gt;3,0,VLOOKUP($A121,'3.kolo'!$O$3:$Q$66,3,0)),VLOOKUP($A121,'3.kolo'!$L$3:$N$66,3,0))</f>
        <v>0</v>
      </c>
      <c r="BB121" s="333">
        <f t="shared" ca="1" si="55"/>
        <v>0</v>
      </c>
      <c r="BC121" s="415" t="s">
        <v>2005</v>
      </c>
      <c r="BD121" s="442" t="str">
        <f ca="1">IF(BC121="","",CONCATENATE(TEXT($O121,"0"),IF(Start.listina!$Y$5="","",TEXT(500+$P121,"000")),TEXT(999999*RAND(),"000000")))</f>
        <v/>
      </c>
      <c r="BE121" s="333">
        <f t="shared" ca="1" si="64"/>
        <v>0</v>
      </c>
      <c r="BH121" s="333" t="str">
        <f ca="1">IF(TYPE(VLOOKUP($A121,'4.kolo'!$L$3:$L$66,1,0))&gt;3,IF(TYPE(VLOOKUP($A121,'4.kolo'!$K$3:$L$66,2,0))&gt;3,0,VLOOKUP($A121,'4.kolo'!$K$3:$L$66,2,0)),VLOOKUP($A121,'4.kolo'!$L$3:$O$66,4,0))</f>
        <v/>
      </c>
      <c r="BI121" s="333">
        <f ca="1">IF(TYPE(VLOOKUP($A121,'4.kolo'!$L$3:$L$66,1,0))&gt;3,IF(TYPE(VLOOKUP($A121,'4.kolo'!$O$3:$Q$66,2,0))&gt;3,0,VLOOKUP($A121,'4.kolo'!$O$3:$Q$66,2,0)),VLOOKUP($A121,'4.kolo'!$L$3:$N$66,2,0))</f>
        <v>0</v>
      </c>
      <c r="BJ121" s="333">
        <f ca="1">IF(TYPE(VLOOKUP($A121,'4.kolo'!$L$3:$L$66,1,0))&gt;3,IF(TYPE(VLOOKUP($A121,'4.kolo'!$O$3:$Q$66,3,0))&gt;3,0,VLOOKUP($A121,'4.kolo'!$O$3:$Q$66,3,0)),VLOOKUP($A121,'4.kolo'!$L$3:$N$66,3,0))</f>
        <v>0</v>
      </c>
      <c r="BK121" s="333">
        <f t="shared" ca="1" si="56"/>
        <v>0</v>
      </c>
      <c r="BL121" s="415" t="s">
        <v>2005</v>
      </c>
      <c r="BM121" s="442" t="str">
        <f ca="1">IF(BL121="","",CONCATENATE(TEXT($O121,"0"),IF(Start.listina!$Y$5="","",TEXT(500+$P121,"000")),TEXT(999999*RAND(),"000000")))</f>
        <v/>
      </c>
      <c r="BN121" s="333">
        <f t="shared" ca="1" si="65"/>
        <v>0</v>
      </c>
      <c r="BQ121" s="333" t="str">
        <f ca="1">IF(TYPE(VLOOKUP($A121,'5.kolo'!$L$3:$L$66,1,0))&gt;3,IF(TYPE(VLOOKUP($A121,'5.kolo'!$K$3:$L$66,2,0))&gt;3,0,VLOOKUP($A121,'5.kolo'!$K$3:$L$66,2,0)),VLOOKUP($A121,'5.kolo'!$L$3:$O$66,4,0))</f>
        <v/>
      </c>
      <c r="BR121" s="333">
        <f ca="1">IF(TYPE(VLOOKUP($A121,'5.kolo'!$L$3:$L$66,1,0))&gt;3,IF(TYPE(VLOOKUP($A121,'5.kolo'!$O$3:$Q$66,2,0))&gt;3,0,VLOOKUP($A121,'5.kolo'!$O$3:$Q$66,2,0)),VLOOKUP($A121,'5.kolo'!$L$3:$N$66,2,0))</f>
        <v>0</v>
      </c>
      <c r="BS121" s="333">
        <f ca="1">IF(TYPE(VLOOKUP($A121,'5.kolo'!$L$3:$L$66,1,0))&gt;3,IF(TYPE(VLOOKUP($A121,'5.kolo'!$O$3:$Q$66,3,0))&gt;3,0,VLOOKUP($A121,'5.kolo'!$O$3:$Q$66,3,0)),VLOOKUP($A121,'5.kolo'!$L$3:$N$66,3,0))</f>
        <v>0</v>
      </c>
      <c r="BT121" s="333">
        <f t="shared" ca="1" si="57"/>
        <v>0</v>
      </c>
      <c r="BU121" s="415"/>
      <c r="BV121" s="442" t="str">
        <f ca="1">IF(BU121="","",CONCATENATE(TEXT($O121,"0"),IF(Start.listina!$Y$5="","",TEXT(500+$P121,"000")),TEXT(999999*RAND(),"000000")))</f>
        <v/>
      </c>
      <c r="BW121" s="333">
        <f t="shared" ca="1" si="66"/>
        <v>0</v>
      </c>
      <c r="BZ121" s="333" t="str">
        <f ca="1">IF(TYPE(VLOOKUP($A121,'6.kolo'!$L$3:$L$66,1,0))&gt;3,IF(TYPE(VLOOKUP($A121,'6.kolo'!$K$3:$L$66,2,0))&gt;3,0,VLOOKUP($A121,'6.kolo'!$K$3:$L$66,2,0)),VLOOKUP($A121,'6.kolo'!$L$3:$O$66,4,0))</f>
        <v/>
      </c>
      <c r="CA121" s="333">
        <f ca="1">IF(TYPE(VLOOKUP($A121,'6.kolo'!$L$3:$L$66,1,0))&gt;3,IF(TYPE(VLOOKUP($A121,'6.kolo'!$O$3:$Q$66,2,0))&gt;3,0,VLOOKUP($A121,'6.kolo'!$O$3:$Q$66,2,0)),VLOOKUP($A121,'6.kolo'!$L$3:$N$66,2,0))</f>
        <v>0</v>
      </c>
      <c r="CB121" s="333">
        <f ca="1">IF(TYPE(VLOOKUP($A121,'6.kolo'!$L$3:$L$66,1,0))&gt;3,IF(TYPE(VLOOKUP($A121,'6.kolo'!$O$3:$Q$66,3,0))&gt;3,0,VLOOKUP($A121,'6.kolo'!$O$3:$Q$66,3,0)),VLOOKUP($A121,'6.kolo'!$L$3:$N$66,3,0))</f>
        <v>0</v>
      </c>
      <c r="CC121" s="333">
        <f t="shared" ca="1" si="58"/>
        <v>0</v>
      </c>
      <c r="CD121" s="415"/>
      <c r="CE121" s="442" t="str">
        <f ca="1">IF(CD121="","",CONCATENATE(TEXT($O121,"0"),IF(Start.listina!$Y$5="","",TEXT(500+$P121,"000")),TEXT(999999*RAND(),"000000")))</f>
        <v/>
      </c>
      <c r="CF121" s="333">
        <f t="shared" ca="1" si="67"/>
        <v>0</v>
      </c>
    </row>
    <row r="122" spans="1:84" x14ac:dyDescent="0.25">
      <c r="A122" s="333" t="str">
        <f>IF(OR(Start.listina!H130&gt;Start.listina!$K$7,Start.listina!G130=TRUE),"",Start.listina!H130)</f>
        <v/>
      </c>
      <c r="B122" s="333" t="str">
        <f>IF($A122&gt;Start.listina!$K$7,"",INT(($A122-1)/Start.listina!$O$7)+1)</f>
        <v/>
      </c>
      <c r="C122" s="439" t="str">
        <f>IF(OR(Start.listina!H130&gt;Start.listina!$K$7,Start.listina!G130=TRUE)," - ",Start.listina!AL130)</f>
        <v xml:space="preserve"> - </v>
      </c>
      <c r="D122" s="333" t="str">
        <f>IF(OR(A122&gt;Start.listina!$K$7,TYPE(VLOOKUP(A122,$V$3:$X$130,3,0))&gt;3),"",VLOOKUP(A122,$V$3:$X$130,3,0))</f>
        <v/>
      </c>
      <c r="E122" s="440" t="str">
        <f>IF(A122&gt;Start.listina!$K$7,"",IF(MIN(F122:K122)&gt;Start.listina!$Y$4,D122,MIN(F122:K122)))</f>
        <v/>
      </c>
      <c r="F122" s="333">
        <f ca="1">IF(TYPE(VLOOKUP(C122,Konečné_pořadí_1_16!$B$2:$D$17,3,0))&lt;4,VLOOKUP(C122,Konečné_pořadí_1_16!$B$2:$D$17,3,0),999)</f>
        <v>999</v>
      </c>
      <c r="G122" s="333">
        <f ca="1">IF(TYPE(VLOOKUP(C122,'KO64'!$D$4:$D$129,1,0))&lt;4,64,999)</f>
        <v>64</v>
      </c>
      <c r="H122" s="333">
        <f ca="1">IF(TYPE(VLOOKUP(C122,'KO32'!$D$4:$D$65,1,0))&lt;4,32,999)</f>
        <v>32</v>
      </c>
      <c r="I122" s="333">
        <f ca="1">IF(TYPE(VLOOKUP(C122,'KO16'!$D$4:$D$33,1,0))&lt;4,16,999)</f>
        <v>999</v>
      </c>
      <c r="J122" s="333">
        <f ca="1">IF(TYPE(VLOOKUP(C122,'KO8'!$D$4:$D$17,1,0))&lt;4,8,999)</f>
        <v>999</v>
      </c>
      <c r="K122" s="333">
        <f ca="1">IF(TYPE(VLOOKUP(C122,'KO4'!$D$4:$D$9,1,0))&lt;4,4,999)</f>
        <v>999</v>
      </c>
      <c r="M122" s="334">
        <v>120</v>
      </c>
      <c r="O122" s="333">
        <f t="shared" ca="1" si="42"/>
        <v>0</v>
      </c>
      <c r="P122" s="333">
        <f t="shared" ca="1" si="43"/>
        <v>0</v>
      </c>
      <c r="Q122" s="333">
        <f t="shared" ca="1" si="60"/>
        <v>2</v>
      </c>
      <c r="R122" s="333">
        <f t="shared" ca="1" si="61"/>
        <v>0</v>
      </c>
      <c r="S122" s="333">
        <f t="shared" ca="1" si="44"/>
        <v>16</v>
      </c>
      <c r="T122" s="333">
        <f t="shared" ca="1" si="45"/>
        <v>0</v>
      </c>
      <c r="U122" s="415">
        <f t="shared" si="59"/>
        <v>120</v>
      </c>
      <c r="V122" s="415" t="s">
        <v>2005</v>
      </c>
      <c r="W122" s="441" t="str">
        <f ca="1">IF($V122="","",CONCATENATE(TEXT($O122,"0"),IF(Start.listina!$Y$5="","",TEXT(500+$P122,"0000")),IF(Start.listina!$Y$6="","",CHOOSE(Start.listina!$Y$7,TEXT($Q122,"00"),CONCATENATE(TEXT($Q122,"00"),TEXT($S122,"000")), TEXT($R122,"00"))),TEXT(500+$P122,"0000"),IF(Start.listina!$Y$8="","",TEXT($T122,"0")),TEXT(999999*RAND(),"000000")))</f>
        <v/>
      </c>
      <c r="X122" s="417">
        <f t="shared" si="46"/>
        <v>120</v>
      </c>
      <c r="Y122" s="415">
        <f t="shared" ca="1" si="62"/>
        <v>0</v>
      </c>
      <c r="Z122" s="333">
        <f t="shared" ca="1" si="47"/>
        <v>51</v>
      </c>
      <c r="AA122" s="333" t="str">
        <f t="shared" ca="1" si="48"/>
        <v/>
      </c>
      <c r="AB122" s="333" t="str">
        <f t="shared" ca="1" si="49"/>
        <v/>
      </c>
      <c r="AC122" s="333" t="str">
        <f t="shared" ca="1" si="50"/>
        <v/>
      </c>
      <c r="AD122" s="333" t="str">
        <f t="shared" ca="1" si="51"/>
        <v/>
      </c>
      <c r="AE122" s="333" t="str">
        <f t="shared" ca="1" si="52"/>
        <v/>
      </c>
      <c r="AG122" s="333">
        <f ca="1">IF(TYPE(VLOOKUP($A122,'1.kolo'!$L$3:$L$66,1,0))&gt;3,VLOOKUP($A122,'1.kolo'!$K$3:$L$66,2,0),VLOOKUP($A122,'1.kolo'!$L$3:$O$66,4,0))</f>
        <v>51</v>
      </c>
      <c r="AH122" s="333">
        <f ca="1">IF(TYPE(VLOOKUP($A122,'1.kolo'!$L$3:$L$66,1,0))&gt;3,VLOOKUP($A122,'1.kolo'!$O$3:$Q$66,2,0),VLOOKUP($A122,'1.kolo'!$L$3:$N$66,2,0))</f>
        <v>0</v>
      </c>
      <c r="AI122" s="333">
        <f ca="1">IF(TYPE(VLOOKUP($A122,'1.kolo'!$L$3:$L$66,1,0))&gt;3,VLOOKUP($A122,'1.kolo'!$O$3:$Q$66,3,0),VLOOKUP($A122,'1.kolo'!$L$3:$N$66,3,0))</f>
        <v>0</v>
      </c>
      <c r="AJ122" s="333">
        <f t="shared" ca="1" si="53"/>
        <v>0</v>
      </c>
      <c r="AK122" s="333">
        <v>120</v>
      </c>
      <c r="AL122" s="442"/>
      <c r="AP122" s="333" t="str">
        <f ca="1">IF(TYPE(VLOOKUP($A122,'2.kolo'!$L$3:$L$66,1,0))&gt;3,IF(TYPE(VLOOKUP($A122,'2.kolo'!$K$3:$L$66,2,0))&gt;3,0,VLOOKUP($A122,'2.kolo'!$K$3:$L$66,2,0)),VLOOKUP($A122,'2.kolo'!$L$3:$O$66,4,0))</f>
        <v/>
      </c>
      <c r="AQ122" s="333">
        <f ca="1">IF(TYPE(VLOOKUP($A122,'2.kolo'!$L$3:$L$66,1,0))&gt;3,IF(TYPE(VLOOKUP($A122,'2.kolo'!$O$3:$Q$66,2,0))&gt;3,0,VLOOKUP($A122,'2.kolo'!$O$3:$Q$66,2,0)),VLOOKUP($A122,'2.kolo'!$L$3:$N$66,2,0))</f>
        <v>0</v>
      </c>
      <c r="AR122" s="333">
        <f ca="1">IF(TYPE(VLOOKUP($A122,'2.kolo'!$L$3:$L$66,1,0))&gt;3,IF(TYPE(VLOOKUP($A122,'2.kolo'!$O$3:$Q$66,3,0))&gt;3,0,VLOOKUP($A122,'2.kolo'!$O$3:$Q$66,3,0)),VLOOKUP($A122,'2.kolo'!$L$3:$N$66,3,0))</f>
        <v>0</v>
      </c>
      <c r="AS122" s="333">
        <f t="shared" ca="1" si="54"/>
        <v>0</v>
      </c>
      <c r="AT122" s="415" t="s">
        <v>2005</v>
      </c>
      <c r="AU122" s="442" t="str">
        <f ca="1">IF(AT122="","",CONCATENATE(TEXT($O122,"0"),IF(Start.listina!$Y$5="","",TEXT(500+$P122,"000")),TEXT(999999*RAND(),"000000")))</f>
        <v/>
      </c>
      <c r="AV122" s="333">
        <f t="shared" ca="1" si="63"/>
        <v>0</v>
      </c>
      <c r="AY122" s="333" t="str">
        <f ca="1">IF(TYPE(VLOOKUP($A122,'3.kolo'!$L$3:$L$66,1,0))&gt;3,IF(TYPE(VLOOKUP($A122,'3.kolo'!$K$3:$L$66,2,0))&gt;3,0,VLOOKUP($A122,'3.kolo'!$K$3:$L$66,2,0)),VLOOKUP($A122,'3.kolo'!$L$3:$O$66,4,0))</f>
        <v/>
      </c>
      <c r="AZ122" s="333">
        <f ca="1">IF(TYPE(VLOOKUP($A122,'3.kolo'!$L$3:$L$66,1,0))&gt;3,IF(TYPE(VLOOKUP($A122,'3.kolo'!$O$3:$Q$66,2,0))&gt;3,0,VLOOKUP($A122,'3.kolo'!$O$3:$Q$66,2,0)),VLOOKUP($A122,'3.kolo'!$L$3:$N$66,2,0))</f>
        <v>0</v>
      </c>
      <c r="BA122" s="333">
        <f ca="1">IF(TYPE(VLOOKUP($A122,'3.kolo'!$L$3:$L$66,1,0))&gt;3,IF(TYPE(VLOOKUP($A122,'3.kolo'!$O$3:$Q$66,3,0))&gt;3,0,VLOOKUP($A122,'3.kolo'!$O$3:$Q$66,3,0)),VLOOKUP($A122,'3.kolo'!$L$3:$N$66,3,0))</f>
        <v>0</v>
      </c>
      <c r="BB122" s="333">
        <f t="shared" ca="1" si="55"/>
        <v>0</v>
      </c>
      <c r="BC122" s="415" t="s">
        <v>2005</v>
      </c>
      <c r="BD122" s="442" t="str">
        <f ca="1">IF(BC122="","",CONCATENATE(TEXT($O122,"0"),IF(Start.listina!$Y$5="","",TEXT(500+$P122,"000")),TEXT(999999*RAND(),"000000")))</f>
        <v/>
      </c>
      <c r="BE122" s="333">
        <f t="shared" ca="1" si="64"/>
        <v>0</v>
      </c>
      <c r="BH122" s="333" t="str">
        <f ca="1">IF(TYPE(VLOOKUP($A122,'4.kolo'!$L$3:$L$66,1,0))&gt;3,IF(TYPE(VLOOKUP($A122,'4.kolo'!$K$3:$L$66,2,0))&gt;3,0,VLOOKUP($A122,'4.kolo'!$K$3:$L$66,2,0)),VLOOKUP($A122,'4.kolo'!$L$3:$O$66,4,0))</f>
        <v/>
      </c>
      <c r="BI122" s="333">
        <f ca="1">IF(TYPE(VLOOKUP($A122,'4.kolo'!$L$3:$L$66,1,0))&gt;3,IF(TYPE(VLOOKUP($A122,'4.kolo'!$O$3:$Q$66,2,0))&gt;3,0,VLOOKUP($A122,'4.kolo'!$O$3:$Q$66,2,0)),VLOOKUP($A122,'4.kolo'!$L$3:$N$66,2,0))</f>
        <v>0</v>
      </c>
      <c r="BJ122" s="333">
        <f ca="1">IF(TYPE(VLOOKUP($A122,'4.kolo'!$L$3:$L$66,1,0))&gt;3,IF(TYPE(VLOOKUP($A122,'4.kolo'!$O$3:$Q$66,3,0))&gt;3,0,VLOOKUP($A122,'4.kolo'!$O$3:$Q$66,3,0)),VLOOKUP($A122,'4.kolo'!$L$3:$N$66,3,0))</f>
        <v>0</v>
      </c>
      <c r="BK122" s="333">
        <f t="shared" ca="1" si="56"/>
        <v>0</v>
      </c>
      <c r="BL122" s="415" t="s">
        <v>2005</v>
      </c>
      <c r="BM122" s="442" t="str">
        <f ca="1">IF(BL122="","",CONCATENATE(TEXT($O122,"0"),IF(Start.listina!$Y$5="","",TEXT(500+$P122,"000")),TEXT(999999*RAND(),"000000")))</f>
        <v/>
      </c>
      <c r="BN122" s="333">
        <f t="shared" ca="1" si="65"/>
        <v>0</v>
      </c>
      <c r="BQ122" s="333" t="str">
        <f ca="1">IF(TYPE(VLOOKUP($A122,'5.kolo'!$L$3:$L$66,1,0))&gt;3,IF(TYPE(VLOOKUP($A122,'5.kolo'!$K$3:$L$66,2,0))&gt;3,0,VLOOKUP($A122,'5.kolo'!$K$3:$L$66,2,0)),VLOOKUP($A122,'5.kolo'!$L$3:$O$66,4,0))</f>
        <v/>
      </c>
      <c r="BR122" s="333">
        <f ca="1">IF(TYPE(VLOOKUP($A122,'5.kolo'!$L$3:$L$66,1,0))&gt;3,IF(TYPE(VLOOKUP($A122,'5.kolo'!$O$3:$Q$66,2,0))&gt;3,0,VLOOKUP($A122,'5.kolo'!$O$3:$Q$66,2,0)),VLOOKUP($A122,'5.kolo'!$L$3:$N$66,2,0))</f>
        <v>0</v>
      </c>
      <c r="BS122" s="333">
        <f ca="1">IF(TYPE(VLOOKUP($A122,'5.kolo'!$L$3:$L$66,1,0))&gt;3,IF(TYPE(VLOOKUP($A122,'5.kolo'!$O$3:$Q$66,3,0))&gt;3,0,VLOOKUP($A122,'5.kolo'!$O$3:$Q$66,3,0)),VLOOKUP($A122,'5.kolo'!$L$3:$N$66,3,0))</f>
        <v>0</v>
      </c>
      <c r="BT122" s="333">
        <f t="shared" ca="1" si="57"/>
        <v>0</v>
      </c>
      <c r="BU122" s="415"/>
      <c r="BV122" s="442" t="str">
        <f ca="1">IF(BU122="","",CONCATENATE(TEXT($O122,"0"),IF(Start.listina!$Y$5="","",TEXT(500+$P122,"000")),TEXT(999999*RAND(),"000000")))</f>
        <v/>
      </c>
      <c r="BW122" s="333">
        <f t="shared" ca="1" si="66"/>
        <v>0</v>
      </c>
      <c r="BZ122" s="333" t="str">
        <f ca="1">IF(TYPE(VLOOKUP($A122,'6.kolo'!$L$3:$L$66,1,0))&gt;3,IF(TYPE(VLOOKUP($A122,'6.kolo'!$K$3:$L$66,2,0))&gt;3,0,VLOOKUP($A122,'6.kolo'!$K$3:$L$66,2,0)),VLOOKUP($A122,'6.kolo'!$L$3:$O$66,4,0))</f>
        <v/>
      </c>
      <c r="CA122" s="333">
        <f ca="1">IF(TYPE(VLOOKUP($A122,'6.kolo'!$L$3:$L$66,1,0))&gt;3,IF(TYPE(VLOOKUP($A122,'6.kolo'!$O$3:$Q$66,2,0))&gt;3,0,VLOOKUP($A122,'6.kolo'!$O$3:$Q$66,2,0)),VLOOKUP($A122,'6.kolo'!$L$3:$N$66,2,0))</f>
        <v>0</v>
      </c>
      <c r="CB122" s="333">
        <f ca="1">IF(TYPE(VLOOKUP($A122,'6.kolo'!$L$3:$L$66,1,0))&gt;3,IF(TYPE(VLOOKUP($A122,'6.kolo'!$O$3:$Q$66,3,0))&gt;3,0,VLOOKUP($A122,'6.kolo'!$O$3:$Q$66,3,0)),VLOOKUP($A122,'6.kolo'!$L$3:$N$66,3,0))</f>
        <v>0</v>
      </c>
      <c r="CC122" s="333">
        <f t="shared" ca="1" si="58"/>
        <v>0</v>
      </c>
      <c r="CD122" s="415"/>
      <c r="CE122" s="442" t="str">
        <f ca="1">IF(CD122="","",CONCATENATE(TEXT($O122,"0"),IF(Start.listina!$Y$5="","",TEXT(500+$P122,"000")),TEXT(999999*RAND(),"000000")))</f>
        <v/>
      </c>
      <c r="CF122" s="333">
        <f t="shared" ca="1" si="67"/>
        <v>0</v>
      </c>
    </row>
    <row r="123" spans="1:84" x14ac:dyDescent="0.25">
      <c r="A123" s="333" t="str">
        <f>IF(OR(Start.listina!H131&gt;Start.listina!$K$7,Start.listina!G131=TRUE),"",Start.listina!H131)</f>
        <v/>
      </c>
      <c r="B123" s="333" t="str">
        <f>IF($A123&gt;Start.listina!$K$7,"",INT(($A123-1)/Start.listina!$O$7)+1)</f>
        <v/>
      </c>
      <c r="C123" s="439" t="str">
        <f>IF(OR(Start.listina!H131&gt;Start.listina!$K$7,Start.listina!G131=TRUE)," - ",Start.listina!AL131)</f>
        <v xml:space="preserve"> - </v>
      </c>
      <c r="D123" s="333" t="str">
        <f>IF(OR(A123&gt;Start.listina!$K$7,TYPE(VLOOKUP(A123,$V$3:$X$130,3,0))&gt;3),"",VLOOKUP(A123,$V$3:$X$130,3,0))</f>
        <v/>
      </c>
      <c r="E123" s="440" t="str">
        <f>IF(A123&gt;Start.listina!$K$7,"",IF(MIN(F123:K123)&gt;Start.listina!$Y$4,D123,MIN(F123:K123)))</f>
        <v/>
      </c>
      <c r="F123" s="333">
        <f ca="1">IF(TYPE(VLOOKUP(C123,Konečné_pořadí_1_16!$B$2:$D$17,3,0))&lt;4,VLOOKUP(C123,Konečné_pořadí_1_16!$B$2:$D$17,3,0),999)</f>
        <v>999</v>
      </c>
      <c r="G123" s="333">
        <f ca="1">IF(TYPE(VLOOKUP(C123,'KO64'!$D$4:$D$129,1,0))&lt;4,64,999)</f>
        <v>64</v>
      </c>
      <c r="H123" s="333">
        <f ca="1">IF(TYPE(VLOOKUP(C123,'KO32'!$D$4:$D$65,1,0))&lt;4,32,999)</f>
        <v>32</v>
      </c>
      <c r="I123" s="333">
        <f ca="1">IF(TYPE(VLOOKUP(C123,'KO16'!$D$4:$D$33,1,0))&lt;4,16,999)</f>
        <v>999</v>
      </c>
      <c r="J123" s="333">
        <f ca="1">IF(TYPE(VLOOKUP(C123,'KO8'!$D$4:$D$17,1,0))&lt;4,8,999)</f>
        <v>999</v>
      </c>
      <c r="K123" s="333">
        <f ca="1">IF(TYPE(VLOOKUP(C123,'KO4'!$D$4:$D$9,1,0))&lt;4,4,999)</f>
        <v>999</v>
      </c>
      <c r="M123" s="334">
        <v>121</v>
      </c>
      <c r="O123" s="333">
        <f t="shared" ca="1" si="42"/>
        <v>0</v>
      </c>
      <c r="P123" s="333">
        <f t="shared" ca="1" si="43"/>
        <v>0</v>
      </c>
      <c r="Q123" s="333">
        <f t="shared" ca="1" si="60"/>
        <v>2</v>
      </c>
      <c r="R123" s="333">
        <f t="shared" ca="1" si="61"/>
        <v>0</v>
      </c>
      <c r="S123" s="333">
        <f t="shared" ca="1" si="44"/>
        <v>16</v>
      </c>
      <c r="T123" s="333">
        <f t="shared" ca="1" si="45"/>
        <v>0</v>
      </c>
      <c r="U123" s="415">
        <f t="shared" si="59"/>
        <v>121</v>
      </c>
      <c r="V123" s="415" t="s">
        <v>2005</v>
      </c>
      <c r="W123" s="441" t="str">
        <f ca="1">IF($V123="","",CONCATENATE(TEXT($O123,"0"),IF(Start.listina!$Y$5="","",TEXT(500+$P123,"0000")),IF(Start.listina!$Y$6="","",CHOOSE(Start.listina!$Y$7,TEXT($Q123,"00"),CONCATENATE(TEXT($Q123,"00"),TEXT($S123,"000")), TEXT($R123,"00"))),TEXT(500+$P123,"0000"),IF(Start.listina!$Y$8="","",TEXT($T123,"0")),TEXT(999999*RAND(),"000000")))</f>
        <v/>
      </c>
      <c r="X123" s="417">
        <f t="shared" si="46"/>
        <v>121</v>
      </c>
      <c r="Y123" s="415">
        <f t="shared" ca="1" si="62"/>
        <v>0</v>
      </c>
      <c r="Z123" s="333">
        <f t="shared" ca="1" si="47"/>
        <v>51</v>
      </c>
      <c r="AA123" s="333" t="str">
        <f t="shared" ca="1" si="48"/>
        <v/>
      </c>
      <c r="AB123" s="333" t="str">
        <f t="shared" ca="1" si="49"/>
        <v/>
      </c>
      <c r="AC123" s="333" t="str">
        <f t="shared" ca="1" si="50"/>
        <v/>
      </c>
      <c r="AD123" s="333" t="str">
        <f t="shared" ca="1" si="51"/>
        <v/>
      </c>
      <c r="AE123" s="333" t="str">
        <f t="shared" ca="1" si="52"/>
        <v/>
      </c>
      <c r="AG123" s="333">
        <f ca="1">IF(TYPE(VLOOKUP($A123,'1.kolo'!$L$3:$L$66,1,0))&gt;3,VLOOKUP($A123,'1.kolo'!$K$3:$L$66,2,0),VLOOKUP($A123,'1.kolo'!$L$3:$O$66,4,0))</f>
        <v>51</v>
      </c>
      <c r="AH123" s="333">
        <f ca="1">IF(TYPE(VLOOKUP($A123,'1.kolo'!$L$3:$L$66,1,0))&gt;3,VLOOKUP($A123,'1.kolo'!$O$3:$Q$66,2,0),VLOOKUP($A123,'1.kolo'!$L$3:$N$66,2,0))</f>
        <v>0</v>
      </c>
      <c r="AI123" s="333">
        <f ca="1">IF(TYPE(VLOOKUP($A123,'1.kolo'!$L$3:$L$66,1,0))&gt;3,VLOOKUP($A123,'1.kolo'!$O$3:$Q$66,3,0),VLOOKUP($A123,'1.kolo'!$L$3:$N$66,3,0))</f>
        <v>0</v>
      </c>
      <c r="AJ123" s="333">
        <f t="shared" ca="1" si="53"/>
        <v>0</v>
      </c>
      <c r="AK123" s="333">
        <v>121</v>
      </c>
      <c r="AL123" s="442"/>
      <c r="AP123" s="333" t="str">
        <f ca="1">IF(TYPE(VLOOKUP($A123,'2.kolo'!$L$3:$L$66,1,0))&gt;3,IF(TYPE(VLOOKUP($A123,'2.kolo'!$K$3:$L$66,2,0))&gt;3,0,VLOOKUP($A123,'2.kolo'!$K$3:$L$66,2,0)),VLOOKUP($A123,'2.kolo'!$L$3:$O$66,4,0))</f>
        <v/>
      </c>
      <c r="AQ123" s="333">
        <f ca="1">IF(TYPE(VLOOKUP($A123,'2.kolo'!$L$3:$L$66,1,0))&gt;3,IF(TYPE(VLOOKUP($A123,'2.kolo'!$O$3:$Q$66,2,0))&gt;3,0,VLOOKUP($A123,'2.kolo'!$O$3:$Q$66,2,0)),VLOOKUP($A123,'2.kolo'!$L$3:$N$66,2,0))</f>
        <v>0</v>
      </c>
      <c r="AR123" s="333">
        <f ca="1">IF(TYPE(VLOOKUP($A123,'2.kolo'!$L$3:$L$66,1,0))&gt;3,IF(TYPE(VLOOKUP($A123,'2.kolo'!$O$3:$Q$66,3,0))&gt;3,0,VLOOKUP($A123,'2.kolo'!$O$3:$Q$66,3,0)),VLOOKUP($A123,'2.kolo'!$L$3:$N$66,3,0))</f>
        <v>0</v>
      </c>
      <c r="AS123" s="333">
        <f t="shared" ca="1" si="54"/>
        <v>0</v>
      </c>
      <c r="AT123" s="415" t="s">
        <v>2005</v>
      </c>
      <c r="AU123" s="442" t="str">
        <f ca="1">IF(AT123="","",CONCATENATE(TEXT($O123,"0"),IF(Start.listina!$Y$5="","",TEXT(500+$P123,"000")),TEXT(999999*RAND(),"000000")))</f>
        <v/>
      </c>
      <c r="AV123" s="333">
        <f t="shared" ca="1" si="63"/>
        <v>0</v>
      </c>
      <c r="AY123" s="333" t="str">
        <f ca="1">IF(TYPE(VLOOKUP($A123,'3.kolo'!$L$3:$L$66,1,0))&gt;3,IF(TYPE(VLOOKUP($A123,'3.kolo'!$K$3:$L$66,2,0))&gt;3,0,VLOOKUP($A123,'3.kolo'!$K$3:$L$66,2,0)),VLOOKUP($A123,'3.kolo'!$L$3:$O$66,4,0))</f>
        <v/>
      </c>
      <c r="AZ123" s="333">
        <f ca="1">IF(TYPE(VLOOKUP($A123,'3.kolo'!$L$3:$L$66,1,0))&gt;3,IF(TYPE(VLOOKUP($A123,'3.kolo'!$O$3:$Q$66,2,0))&gt;3,0,VLOOKUP($A123,'3.kolo'!$O$3:$Q$66,2,0)),VLOOKUP($A123,'3.kolo'!$L$3:$N$66,2,0))</f>
        <v>0</v>
      </c>
      <c r="BA123" s="333">
        <f ca="1">IF(TYPE(VLOOKUP($A123,'3.kolo'!$L$3:$L$66,1,0))&gt;3,IF(TYPE(VLOOKUP($A123,'3.kolo'!$O$3:$Q$66,3,0))&gt;3,0,VLOOKUP($A123,'3.kolo'!$O$3:$Q$66,3,0)),VLOOKUP($A123,'3.kolo'!$L$3:$N$66,3,0))</f>
        <v>0</v>
      </c>
      <c r="BB123" s="333">
        <f t="shared" ca="1" si="55"/>
        <v>0</v>
      </c>
      <c r="BC123" s="415" t="s">
        <v>2005</v>
      </c>
      <c r="BD123" s="442" t="str">
        <f ca="1">IF(BC123="","",CONCATENATE(TEXT($O123,"0"),IF(Start.listina!$Y$5="","",TEXT(500+$P123,"000")),TEXT(999999*RAND(),"000000")))</f>
        <v/>
      </c>
      <c r="BE123" s="333">
        <f t="shared" ca="1" si="64"/>
        <v>0</v>
      </c>
      <c r="BH123" s="333" t="str">
        <f ca="1">IF(TYPE(VLOOKUP($A123,'4.kolo'!$L$3:$L$66,1,0))&gt;3,IF(TYPE(VLOOKUP($A123,'4.kolo'!$K$3:$L$66,2,0))&gt;3,0,VLOOKUP($A123,'4.kolo'!$K$3:$L$66,2,0)),VLOOKUP($A123,'4.kolo'!$L$3:$O$66,4,0))</f>
        <v/>
      </c>
      <c r="BI123" s="333">
        <f ca="1">IF(TYPE(VLOOKUP($A123,'4.kolo'!$L$3:$L$66,1,0))&gt;3,IF(TYPE(VLOOKUP($A123,'4.kolo'!$O$3:$Q$66,2,0))&gt;3,0,VLOOKUP($A123,'4.kolo'!$O$3:$Q$66,2,0)),VLOOKUP($A123,'4.kolo'!$L$3:$N$66,2,0))</f>
        <v>0</v>
      </c>
      <c r="BJ123" s="333">
        <f ca="1">IF(TYPE(VLOOKUP($A123,'4.kolo'!$L$3:$L$66,1,0))&gt;3,IF(TYPE(VLOOKUP($A123,'4.kolo'!$O$3:$Q$66,3,0))&gt;3,0,VLOOKUP($A123,'4.kolo'!$O$3:$Q$66,3,0)),VLOOKUP($A123,'4.kolo'!$L$3:$N$66,3,0))</f>
        <v>0</v>
      </c>
      <c r="BK123" s="333">
        <f t="shared" ca="1" si="56"/>
        <v>0</v>
      </c>
      <c r="BL123" s="415" t="s">
        <v>2005</v>
      </c>
      <c r="BM123" s="442" t="str">
        <f ca="1">IF(BL123="","",CONCATENATE(TEXT($O123,"0"),IF(Start.listina!$Y$5="","",TEXT(500+$P123,"000")),TEXT(999999*RAND(),"000000")))</f>
        <v/>
      </c>
      <c r="BN123" s="333">
        <f t="shared" ca="1" si="65"/>
        <v>0</v>
      </c>
      <c r="BQ123" s="333" t="str">
        <f ca="1">IF(TYPE(VLOOKUP($A123,'5.kolo'!$L$3:$L$66,1,0))&gt;3,IF(TYPE(VLOOKUP($A123,'5.kolo'!$K$3:$L$66,2,0))&gt;3,0,VLOOKUP($A123,'5.kolo'!$K$3:$L$66,2,0)),VLOOKUP($A123,'5.kolo'!$L$3:$O$66,4,0))</f>
        <v/>
      </c>
      <c r="BR123" s="333">
        <f ca="1">IF(TYPE(VLOOKUP($A123,'5.kolo'!$L$3:$L$66,1,0))&gt;3,IF(TYPE(VLOOKUP($A123,'5.kolo'!$O$3:$Q$66,2,0))&gt;3,0,VLOOKUP($A123,'5.kolo'!$O$3:$Q$66,2,0)),VLOOKUP($A123,'5.kolo'!$L$3:$N$66,2,0))</f>
        <v>0</v>
      </c>
      <c r="BS123" s="333">
        <f ca="1">IF(TYPE(VLOOKUP($A123,'5.kolo'!$L$3:$L$66,1,0))&gt;3,IF(TYPE(VLOOKUP($A123,'5.kolo'!$O$3:$Q$66,3,0))&gt;3,0,VLOOKUP($A123,'5.kolo'!$O$3:$Q$66,3,0)),VLOOKUP($A123,'5.kolo'!$L$3:$N$66,3,0))</f>
        <v>0</v>
      </c>
      <c r="BT123" s="333">
        <f t="shared" ca="1" si="57"/>
        <v>0</v>
      </c>
      <c r="BU123" s="415"/>
      <c r="BV123" s="442" t="str">
        <f ca="1">IF(BU123="","",CONCATENATE(TEXT($O123,"0"),IF(Start.listina!$Y$5="","",TEXT(500+$P123,"000")),TEXT(999999*RAND(),"000000")))</f>
        <v/>
      </c>
      <c r="BW123" s="333">
        <f t="shared" ca="1" si="66"/>
        <v>0</v>
      </c>
      <c r="BZ123" s="333" t="str">
        <f ca="1">IF(TYPE(VLOOKUP($A123,'6.kolo'!$L$3:$L$66,1,0))&gt;3,IF(TYPE(VLOOKUP($A123,'6.kolo'!$K$3:$L$66,2,0))&gt;3,0,VLOOKUP($A123,'6.kolo'!$K$3:$L$66,2,0)),VLOOKUP($A123,'6.kolo'!$L$3:$O$66,4,0))</f>
        <v/>
      </c>
      <c r="CA123" s="333">
        <f ca="1">IF(TYPE(VLOOKUP($A123,'6.kolo'!$L$3:$L$66,1,0))&gt;3,IF(TYPE(VLOOKUP($A123,'6.kolo'!$O$3:$Q$66,2,0))&gt;3,0,VLOOKUP($A123,'6.kolo'!$O$3:$Q$66,2,0)),VLOOKUP($A123,'6.kolo'!$L$3:$N$66,2,0))</f>
        <v>0</v>
      </c>
      <c r="CB123" s="333">
        <f ca="1">IF(TYPE(VLOOKUP($A123,'6.kolo'!$L$3:$L$66,1,0))&gt;3,IF(TYPE(VLOOKUP($A123,'6.kolo'!$O$3:$Q$66,3,0))&gt;3,0,VLOOKUP($A123,'6.kolo'!$O$3:$Q$66,3,0)),VLOOKUP($A123,'6.kolo'!$L$3:$N$66,3,0))</f>
        <v>0</v>
      </c>
      <c r="CC123" s="333">
        <f t="shared" ca="1" si="58"/>
        <v>0</v>
      </c>
      <c r="CD123" s="415"/>
      <c r="CE123" s="442" t="str">
        <f ca="1">IF(CD123="","",CONCATENATE(TEXT($O123,"0"),IF(Start.listina!$Y$5="","",TEXT(500+$P123,"000")),TEXT(999999*RAND(),"000000")))</f>
        <v/>
      </c>
      <c r="CF123" s="333">
        <f t="shared" ca="1" si="67"/>
        <v>0</v>
      </c>
    </row>
    <row r="124" spans="1:84" x14ac:dyDescent="0.25">
      <c r="A124" s="333" t="str">
        <f>IF(OR(Start.listina!H132&gt;Start.listina!$K$7,Start.listina!G132=TRUE),"",Start.listina!H132)</f>
        <v/>
      </c>
      <c r="B124" s="333" t="str">
        <f>IF($A124&gt;Start.listina!$K$7,"",INT(($A124-1)/Start.listina!$O$7)+1)</f>
        <v/>
      </c>
      <c r="C124" s="439" t="str">
        <f>IF(OR(Start.listina!H132&gt;Start.listina!$K$7,Start.listina!G132=TRUE)," - ",Start.listina!AL132)</f>
        <v xml:space="preserve"> - </v>
      </c>
      <c r="D124" s="333" t="str">
        <f>IF(OR(A124&gt;Start.listina!$K$7,TYPE(VLOOKUP(A124,$V$3:$X$130,3,0))&gt;3),"",VLOOKUP(A124,$V$3:$X$130,3,0))</f>
        <v/>
      </c>
      <c r="E124" s="440" t="str">
        <f>IF(A124&gt;Start.listina!$K$7,"",IF(MIN(F124:K124)&gt;Start.listina!$Y$4,D124,MIN(F124:K124)))</f>
        <v/>
      </c>
      <c r="F124" s="333">
        <f ca="1">IF(TYPE(VLOOKUP(C124,Konečné_pořadí_1_16!$B$2:$D$17,3,0))&lt;4,VLOOKUP(C124,Konečné_pořadí_1_16!$B$2:$D$17,3,0),999)</f>
        <v>999</v>
      </c>
      <c r="G124" s="333">
        <f ca="1">IF(TYPE(VLOOKUP(C124,'KO64'!$D$4:$D$129,1,0))&lt;4,64,999)</f>
        <v>64</v>
      </c>
      <c r="H124" s="333">
        <f ca="1">IF(TYPE(VLOOKUP(C124,'KO32'!$D$4:$D$65,1,0))&lt;4,32,999)</f>
        <v>32</v>
      </c>
      <c r="I124" s="333">
        <f ca="1">IF(TYPE(VLOOKUP(C124,'KO16'!$D$4:$D$33,1,0))&lt;4,16,999)</f>
        <v>999</v>
      </c>
      <c r="J124" s="333">
        <f ca="1">IF(TYPE(VLOOKUP(C124,'KO8'!$D$4:$D$17,1,0))&lt;4,8,999)</f>
        <v>999</v>
      </c>
      <c r="K124" s="333">
        <f ca="1">IF(TYPE(VLOOKUP(C124,'KO4'!$D$4:$D$9,1,0))&lt;4,4,999)</f>
        <v>999</v>
      </c>
      <c r="M124" s="334">
        <v>122</v>
      </c>
      <c r="O124" s="333">
        <f t="shared" ca="1" si="42"/>
        <v>0</v>
      </c>
      <c r="P124" s="333">
        <f t="shared" ca="1" si="43"/>
        <v>0</v>
      </c>
      <c r="Q124" s="333">
        <f t="shared" ca="1" si="60"/>
        <v>2</v>
      </c>
      <c r="R124" s="333">
        <f t="shared" ca="1" si="61"/>
        <v>0</v>
      </c>
      <c r="S124" s="333">
        <f t="shared" ca="1" si="44"/>
        <v>16</v>
      </c>
      <c r="T124" s="333">
        <f t="shared" ca="1" si="45"/>
        <v>0</v>
      </c>
      <c r="U124" s="415">
        <f t="shared" si="59"/>
        <v>122</v>
      </c>
      <c r="V124" s="415" t="s">
        <v>2005</v>
      </c>
      <c r="W124" s="441" t="str">
        <f ca="1">IF($V124="","",CONCATENATE(TEXT($O124,"0"),IF(Start.listina!$Y$5="","",TEXT(500+$P124,"0000")),IF(Start.listina!$Y$6="","",CHOOSE(Start.listina!$Y$7,TEXT($Q124,"00"),CONCATENATE(TEXT($Q124,"00"),TEXT($S124,"000")), TEXT($R124,"00"))),TEXT(500+$P124,"0000"),IF(Start.listina!$Y$8="","",TEXT($T124,"0")),TEXT(999999*RAND(),"000000")))</f>
        <v/>
      </c>
      <c r="X124" s="417">
        <f t="shared" si="46"/>
        <v>122</v>
      </c>
      <c r="Y124" s="415">
        <f t="shared" ca="1" si="62"/>
        <v>0</v>
      </c>
      <c r="Z124" s="333">
        <f t="shared" ca="1" si="47"/>
        <v>51</v>
      </c>
      <c r="AA124" s="333" t="str">
        <f t="shared" ca="1" si="48"/>
        <v/>
      </c>
      <c r="AB124" s="333" t="str">
        <f t="shared" ca="1" si="49"/>
        <v/>
      </c>
      <c r="AC124" s="333" t="str">
        <f t="shared" ca="1" si="50"/>
        <v/>
      </c>
      <c r="AD124" s="333" t="str">
        <f t="shared" ca="1" si="51"/>
        <v/>
      </c>
      <c r="AE124" s="333" t="str">
        <f t="shared" ca="1" si="52"/>
        <v/>
      </c>
      <c r="AG124" s="333">
        <f ca="1">IF(TYPE(VLOOKUP($A124,'1.kolo'!$L$3:$L$66,1,0))&gt;3,VLOOKUP($A124,'1.kolo'!$K$3:$L$66,2,0),VLOOKUP($A124,'1.kolo'!$L$3:$O$66,4,0))</f>
        <v>51</v>
      </c>
      <c r="AH124" s="333">
        <f ca="1">IF(TYPE(VLOOKUP($A124,'1.kolo'!$L$3:$L$66,1,0))&gt;3,VLOOKUP($A124,'1.kolo'!$O$3:$Q$66,2,0),VLOOKUP($A124,'1.kolo'!$L$3:$N$66,2,0))</f>
        <v>0</v>
      </c>
      <c r="AI124" s="333">
        <f ca="1">IF(TYPE(VLOOKUP($A124,'1.kolo'!$L$3:$L$66,1,0))&gt;3,VLOOKUP($A124,'1.kolo'!$O$3:$Q$66,3,0),VLOOKUP($A124,'1.kolo'!$L$3:$N$66,3,0))</f>
        <v>0</v>
      </c>
      <c r="AJ124" s="333">
        <f t="shared" ca="1" si="53"/>
        <v>0</v>
      </c>
      <c r="AK124" s="333">
        <v>122</v>
      </c>
      <c r="AL124" s="442"/>
      <c r="AP124" s="333" t="str">
        <f ca="1">IF(TYPE(VLOOKUP($A124,'2.kolo'!$L$3:$L$66,1,0))&gt;3,IF(TYPE(VLOOKUP($A124,'2.kolo'!$K$3:$L$66,2,0))&gt;3,0,VLOOKUP($A124,'2.kolo'!$K$3:$L$66,2,0)),VLOOKUP($A124,'2.kolo'!$L$3:$O$66,4,0))</f>
        <v/>
      </c>
      <c r="AQ124" s="333">
        <f ca="1">IF(TYPE(VLOOKUP($A124,'2.kolo'!$L$3:$L$66,1,0))&gt;3,IF(TYPE(VLOOKUP($A124,'2.kolo'!$O$3:$Q$66,2,0))&gt;3,0,VLOOKUP($A124,'2.kolo'!$O$3:$Q$66,2,0)),VLOOKUP($A124,'2.kolo'!$L$3:$N$66,2,0))</f>
        <v>0</v>
      </c>
      <c r="AR124" s="333">
        <f ca="1">IF(TYPE(VLOOKUP($A124,'2.kolo'!$L$3:$L$66,1,0))&gt;3,IF(TYPE(VLOOKUP($A124,'2.kolo'!$O$3:$Q$66,3,0))&gt;3,0,VLOOKUP($A124,'2.kolo'!$O$3:$Q$66,3,0)),VLOOKUP($A124,'2.kolo'!$L$3:$N$66,3,0))</f>
        <v>0</v>
      </c>
      <c r="AS124" s="333">
        <f t="shared" ca="1" si="54"/>
        <v>0</v>
      </c>
      <c r="AT124" s="415" t="s">
        <v>2005</v>
      </c>
      <c r="AU124" s="442" t="str">
        <f ca="1">IF(AT124="","",CONCATENATE(TEXT($O124,"0"),IF(Start.listina!$Y$5="","",TEXT(500+$P124,"000")),TEXT(999999*RAND(),"000000")))</f>
        <v/>
      </c>
      <c r="AV124" s="333">
        <f t="shared" ca="1" si="63"/>
        <v>0</v>
      </c>
      <c r="AY124" s="333" t="str">
        <f ca="1">IF(TYPE(VLOOKUP($A124,'3.kolo'!$L$3:$L$66,1,0))&gt;3,IF(TYPE(VLOOKUP($A124,'3.kolo'!$K$3:$L$66,2,0))&gt;3,0,VLOOKUP($A124,'3.kolo'!$K$3:$L$66,2,0)),VLOOKUP($A124,'3.kolo'!$L$3:$O$66,4,0))</f>
        <v/>
      </c>
      <c r="AZ124" s="333">
        <f ca="1">IF(TYPE(VLOOKUP($A124,'3.kolo'!$L$3:$L$66,1,0))&gt;3,IF(TYPE(VLOOKUP($A124,'3.kolo'!$O$3:$Q$66,2,0))&gt;3,0,VLOOKUP($A124,'3.kolo'!$O$3:$Q$66,2,0)),VLOOKUP($A124,'3.kolo'!$L$3:$N$66,2,0))</f>
        <v>0</v>
      </c>
      <c r="BA124" s="333">
        <f ca="1">IF(TYPE(VLOOKUP($A124,'3.kolo'!$L$3:$L$66,1,0))&gt;3,IF(TYPE(VLOOKUP($A124,'3.kolo'!$O$3:$Q$66,3,0))&gt;3,0,VLOOKUP($A124,'3.kolo'!$O$3:$Q$66,3,0)),VLOOKUP($A124,'3.kolo'!$L$3:$N$66,3,0))</f>
        <v>0</v>
      </c>
      <c r="BB124" s="333">
        <f t="shared" ca="1" si="55"/>
        <v>0</v>
      </c>
      <c r="BC124" s="415" t="s">
        <v>2005</v>
      </c>
      <c r="BD124" s="442" t="str">
        <f ca="1">IF(BC124="","",CONCATENATE(TEXT($O124,"0"),IF(Start.listina!$Y$5="","",TEXT(500+$P124,"000")),TEXT(999999*RAND(),"000000")))</f>
        <v/>
      </c>
      <c r="BE124" s="333">
        <f t="shared" ca="1" si="64"/>
        <v>0</v>
      </c>
      <c r="BH124" s="333" t="str">
        <f ca="1">IF(TYPE(VLOOKUP($A124,'4.kolo'!$L$3:$L$66,1,0))&gt;3,IF(TYPE(VLOOKUP($A124,'4.kolo'!$K$3:$L$66,2,0))&gt;3,0,VLOOKUP($A124,'4.kolo'!$K$3:$L$66,2,0)),VLOOKUP($A124,'4.kolo'!$L$3:$O$66,4,0))</f>
        <v/>
      </c>
      <c r="BI124" s="333">
        <f ca="1">IF(TYPE(VLOOKUP($A124,'4.kolo'!$L$3:$L$66,1,0))&gt;3,IF(TYPE(VLOOKUP($A124,'4.kolo'!$O$3:$Q$66,2,0))&gt;3,0,VLOOKUP($A124,'4.kolo'!$O$3:$Q$66,2,0)),VLOOKUP($A124,'4.kolo'!$L$3:$N$66,2,0))</f>
        <v>0</v>
      </c>
      <c r="BJ124" s="333">
        <f ca="1">IF(TYPE(VLOOKUP($A124,'4.kolo'!$L$3:$L$66,1,0))&gt;3,IF(TYPE(VLOOKUP($A124,'4.kolo'!$O$3:$Q$66,3,0))&gt;3,0,VLOOKUP($A124,'4.kolo'!$O$3:$Q$66,3,0)),VLOOKUP($A124,'4.kolo'!$L$3:$N$66,3,0))</f>
        <v>0</v>
      </c>
      <c r="BK124" s="333">
        <f t="shared" ca="1" si="56"/>
        <v>0</v>
      </c>
      <c r="BL124" s="415" t="s">
        <v>2005</v>
      </c>
      <c r="BM124" s="442" t="str">
        <f ca="1">IF(BL124="","",CONCATENATE(TEXT($O124,"0"),IF(Start.listina!$Y$5="","",TEXT(500+$P124,"000")),TEXT(999999*RAND(),"000000")))</f>
        <v/>
      </c>
      <c r="BN124" s="333">
        <f t="shared" ca="1" si="65"/>
        <v>0</v>
      </c>
      <c r="BQ124" s="333" t="str">
        <f ca="1">IF(TYPE(VLOOKUP($A124,'5.kolo'!$L$3:$L$66,1,0))&gt;3,IF(TYPE(VLOOKUP($A124,'5.kolo'!$K$3:$L$66,2,0))&gt;3,0,VLOOKUP($A124,'5.kolo'!$K$3:$L$66,2,0)),VLOOKUP($A124,'5.kolo'!$L$3:$O$66,4,0))</f>
        <v/>
      </c>
      <c r="BR124" s="333">
        <f ca="1">IF(TYPE(VLOOKUP($A124,'5.kolo'!$L$3:$L$66,1,0))&gt;3,IF(TYPE(VLOOKUP($A124,'5.kolo'!$O$3:$Q$66,2,0))&gt;3,0,VLOOKUP($A124,'5.kolo'!$O$3:$Q$66,2,0)),VLOOKUP($A124,'5.kolo'!$L$3:$N$66,2,0))</f>
        <v>0</v>
      </c>
      <c r="BS124" s="333">
        <f ca="1">IF(TYPE(VLOOKUP($A124,'5.kolo'!$L$3:$L$66,1,0))&gt;3,IF(TYPE(VLOOKUP($A124,'5.kolo'!$O$3:$Q$66,3,0))&gt;3,0,VLOOKUP($A124,'5.kolo'!$O$3:$Q$66,3,0)),VLOOKUP($A124,'5.kolo'!$L$3:$N$66,3,0))</f>
        <v>0</v>
      </c>
      <c r="BT124" s="333">
        <f t="shared" ca="1" si="57"/>
        <v>0</v>
      </c>
      <c r="BU124" s="415"/>
      <c r="BV124" s="442" t="str">
        <f ca="1">IF(BU124="","",CONCATENATE(TEXT($O124,"0"),IF(Start.listina!$Y$5="","",TEXT(500+$P124,"000")),TEXT(999999*RAND(),"000000")))</f>
        <v/>
      </c>
      <c r="BW124" s="333">
        <f t="shared" ca="1" si="66"/>
        <v>0</v>
      </c>
      <c r="BZ124" s="333" t="str">
        <f ca="1">IF(TYPE(VLOOKUP($A124,'6.kolo'!$L$3:$L$66,1,0))&gt;3,IF(TYPE(VLOOKUP($A124,'6.kolo'!$K$3:$L$66,2,0))&gt;3,0,VLOOKUP($A124,'6.kolo'!$K$3:$L$66,2,0)),VLOOKUP($A124,'6.kolo'!$L$3:$O$66,4,0))</f>
        <v/>
      </c>
      <c r="CA124" s="333">
        <f ca="1">IF(TYPE(VLOOKUP($A124,'6.kolo'!$L$3:$L$66,1,0))&gt;3,IF(TYPE(VLOOKUP($A124,'6.kolo'!$O$3:$Q$66,2,0))&gt;3,0,VLOOKUP($A124,'6.kolo'!$O$3:$Q$66,2,0)),VLOOKUP($A124,'6.kolo'!$L$3:$N$66,2,0))</f>
        <v>0</v>
      </c>
      <c r="CB124" s="333">
        <f ca="1">IF(TYPE(VLOOKUP($A124,'6.kolo'!$L$3:$L$66,1,0))&gt;3,IF(TYPE(VLOOKUP($A124,'6.kolo'!$O$3:$Q$66,3,0))&gt;3,0,VLOOKUP($A124,'6.kolo'!$O$3:$Q$66,3,0)),VLOOKUP($A124,'6.kolo'!$L$3:$N$66,3,0))</f>
        <v>0</v>
      </c>
      <c r="CC124" s="333">
        <f t="shared" ca="1" si="58"/>
        <v>0</v>
      </c>
      <c r="CD124" s="415"/>
      <c r="CE124" s="442" t="str">
        <f ca="1">IF(CD124="","",CONCATENATE(TEXT($O124,"0"),IF(Start.listina!$Y$5="","",TEXT(500+$P124,"000")),TEXT(999999*RAND(),"000000")))</f>
        <v/>
      </c>
      <c r="CF124" s="333">
        <f t="shared" ca="1" si="67"/>
        <v>0</v>
      </c>
    </row>
    <row r="125" spans="1:84" x14ac:dyDescent="0.25">
      <c r="A125" s="333" t="str">
        <f>IF(OR(Start.listina!H133&gt;Start.listina!$K$7,Start.listina!G133=TRUE),"",Start.listina!H133)</f>
        <v/>
      </c>
      <c r="B125" s="333" t="str">
        <f>IF($A125&gt;Start.listina!$K$7,"",INT(($A125-1)/Start.listina!$O$7)+1)</f>
        <v/>
      </c>
      <c r="C125" s="439" t="str">
        <f>IF(OR(Start.listina!H133&gt;Start.listina!$K$7,Start.listina!G133=TRUE)," - ",Start.listina!AL133)</f>
        <v xml:space="preserve"> - </v>
      </c>
      <c r="D125" s="333" t="str">
        <f>IF(OR(A125&gt;Start.listina!$K$7,TYPE(VLOOKUP(A125,$V$3:$X$130,3,0))&gt;3),"",VLOOKUP(A125,$V$3:$X$130,3,0))</f>
        <v/>
      </c>
      <c r="E125" s="440" t="str">
        <f>IF(A125&gt;Start.listina!$K$7,"",IF(MIN(F125:K125)&gt;Start.listina!$Y$4,D125,MIN(F125:K125)))</f>
        <v/>
      </c>
      <c r="F125" s="333">
        <f ca="1">IF(TYPE(VLOOKUP(C125,Konečné_pořadí_1_16!$B$2:$D$17,3,0))&lt;4,VLOOKUP(C125,Konečné_pořadí_1_16!$B$2:$D$17,3,0),999)</f>
        <v>999</v>
      </c>
      <c r="G125" s="333">
        <f ca="1">IF(TYPE(VLOOKUP(C125,'KO64'!$D$4:$D$129,1,0))&lt;4,64,999)</f>
        <v>64</v>
      </c>
      <c r="H125" s="333">
        <f ca="1">IF(TYPE(VLOOKUP(C125,'KO32'!$D$4:$D$65,1,0))&lt;4,32,999)</f>
        <v>32</v>
      </c>
      <c r="I125" s="333">
        <f ca="1">IF(TYPE(VLOOKUP(C125,'KO16'!$D$4:$D$33,1,0))&lt;4,16,999)</f>
        <v>999</v>
      </c>
      <c r="J125" s="333">
        <f ca="1">IF(TYPE(VLOOKUP(C125,'KO8'!$D$4:$D$17,1,0))&lt;4,8,999)</f>
        <v>999</v>
      </c>
      <c r="K125" s="333">
        <f ca="1">IF(TYPE(VLOOKUP(C125,'KO4'!$D$4:$D$9,1,0))&lt;4,4,999)</f>
        <v>999</v>
      </c>
      <c r="M125" s="334">
        <v>123</v>
      </c>
      <c r="O125" s="333">
        <f t="shared" ca="1" si="42"/>
        <v>0</v>
      </c>
      <c r="P125" s="333">
        <f t="shared" ca="1" si="43"/>
        <v>0</v>
      </c>
      <c r="Q125" s="333">
        <f t="shared" ca="1" si="60"/>
        <v>2</v>
      </c>
      <c r="R125" s="333">
        <f t="shared" ca="1" si="61"/>
        <v>0</v>
      </c>
      <c r="S125" s="333">
        <f t="shared" ca="1" si="44"/>
        <v>16</v>
      </c>
      <c r="T125" s="333">
        <f t="shared" ca="1" si="45"/>
        <v>0</v>
      </c>
      <c r="U125" s="415">
        <f t="shared" si="59"/>
        <v>123</v>
      </c>
      <c r="V125" s="415" t="s">
        <v>2005</v>
      </c>
      <c r="W125" s="441" t="str">
        <f ca="1">IF($V125="","",CONCATENATE(TEXT($O125,"0"),IF(Start.listina!$Y$5="","",TEXT(500+$P125,"0000")),IF(Start.listina!$Y$6="","",CHOOSE(Start.listina!$Y$7,TEXT($Q125,"00"),CONCATENATE(TEXT($Q125,"00"),TEXT($S125,"000")), TEXT($R125,"00"))),TEXT(500+$P125,"0000"),IF(Start.listina!$Y$8="","",TEXT($T125,"0")),TEXT(999999*RAND(),"000000")))</f>
        <v/>
      </c>
      <c r="X125" s="417">
        <f t="shared" si="46"/>
        <v>123</v>
      </c>
      <c r="Y125" s="415">
        <f t="shared" ca="1" si="62"/>
        <v>0</v>
      </c>
      <c r="Z125" s="333">
        <f t="shared" ca="1" si="47"/>
        <v>51</v>
      </c>
      <c r="AA125" s="333" t="str">
        <f t="shared" ca="1" si="48"/>
        <v/>
      </c>
      <c r="AB125" s="333" t="str">
        <f t="shared" ca="1" si="49"/>
        <v/>
      </c>
      <c r="AC125" s="333" t="str">
        <f t="shared" ca="1" si="50"/>
        <v/>
      </c>
      <c r="AD125" s="333" t="str">
        <f t="shared" ca="1" si="51"/>
        <v/>
      </c>
      <c r="AE125" s="333" t="str">
        <f t="shared" ca="1" si="52"/>
        <v/>
      </c>
      <c r="AG125" s="333">
        <f ca="1">IF(TYPE(VLOOKUP($A125,'1.kolo'!$L$3:$L$66,1,0))&gt;3,VLOOKUP($A125,'1.kolo'!$K$3:$L$66,2,0),VLOOKUP($A125,'1.kolo'!$L$3:$O$66,4,0))</f>
        <v>51</v>
      </c>
      <c r="AH125" s="333">
        <f ca="1">IF(TYPE(VLOOKUP($A125,'1.kolo'!$L$3:$L$66,1,0))&gt;3,VLOOKUP($A125,'1.kolo'!$O$3:$Q$66,2,0),VLOOKUP($A125,'1.kolo'!$L$3:$N$66,2,0))</f>
        <v>0</v>
      </c>
      <c r="AI125" s="333">
        <f ca="1">IF(TYPE(VLOOKUP($A125,'1.kolo'!$L$3:$L$66,1,0))&gt;3,VLOOKUP($A125,'1.kolo'!$O$3:$Q$66,3,0),VLOOKUP($A125,'1.kolo'!$L$3:$N$66,3,0))</f>
        <v>0</v>
      </c>
      <c r="AJ125" s="333">
        <f t="shared" ca="1" si="53"/>
        <v>0</v>
      </c>
      <c r="AK125" s="333">
        <v>123</v>
      </c>
      <c r="AL125" s="442"/>
      <c r="AP125" s="333" t="str">
        <f ca="1">IF(TYPE(VLOOKUP($A125,'2.kolo'!$L$3:$L$66,1,0))&gt;3,IF(TYPE(VLOOKUP($A125,'2.kolo'!$K$3:$L$66,2,0))&gt;3,0,VLOOKUP($A125,'2.kolo'!$K$3:$L$66,2,0)),VLOOKUP($A125,'2.kolo'!$L$3:$O$66,4,0))</f>
        <v/>
      </c>
      <c r="AQ125" s="333">
        <f ca="1">IF(TYPE(VLOOKUP($A125,'2.kolo'!$L$3:$L$66,1,0))&gt;3,IF(TYPE(VLOOKUP($A125,'2.kolo'!$O$3:$Q$66,2,0))&gt;3,0,VLOOKUP($A125,'2.kolo'!$O$3:$Q$66,2,0)),VLOOKUP($A125,'2.kolo'!$L$3:$N$66,2,0))</f>
        <v>0</v>
      </c>
      <c r="AR125" s="333">
        <f ca="1">IF(TYPE(VLOOKUP($A125,'2.kolo'!$L$3:$L$66,1,0))&gt;3,IF(TYPE(VLOOKUP($A125,'2.kolo'!$O$3:$Q$66,3,0))&gt;3,0,VLOOKUP($A125,'2.kolo'!$O$3:$Q$66,3,0)),VLOOKUP($A125,'2.kolo'!$L$3:$N$66,3,0))</f>
        <v>0</v>
      </c>
      <c r="AS125" s="333">
        <f t="shared" ca="1" si="54"/>
        <v>0</v>
      </c>
      <c r="AT125" s="415" t="s">
        <v>2005</v>
      </c>
      <c r="AU125" s="442" t="str">
        <f ca="1">IF(AT125="","",CONCATENATE(TEXT($O125,"0"),IF(Start.listina!$Y$5="","",TEXT(500+$P125,"000")),TEXT(999999*RAND(),"000000")))</f>
        <v/>
      </c>
      <c r="AV125" s="333">
        <f t="shared" ca="1" si="63"/>
        <v>0</v>
      </c>
      <c r="AY125" s="333" t="str">
        <f ca="1">IF(TYPE(VLOOKUP($A125,'3.kolo'!$L$3:$L$66,1,0))&gt;3,IF(TYPE(VLOOKUP($A125,'3.kolo'!$K$3:$L$66,2,0))&gt;3,0,VLOOKUP($A125,'3.kolo'!$K$3:$L$66,2,0)),VLOOKUP($A125,'3.kolo'!$L$3:$O$66,4,0))</f>
        <v/>
      </c>
      <c r="AZ125" s="333">
        <f ca="1">IF(TYPE(VLOOKUP($A125,'3.kolo'!$L$3:$L$66,1,0))&gt;3,IF(TYPE(VLOOKUP($A125,'3.kolo'!$O$3:$Q$66,2,0))&gt;3,0,VLOOKUP($A125,'3.kolo'!$O$3:$Q$66,2,0)),VLOOKUP($A125,'3.kolo'!$L$3:$N$66,2,0))</f>
        <v>0</v>
      </c>
      <c r="BA125" s="333">
        <f ca="1">IF(TYPE(VLOOKUP($A125,'3.kolo'!$L$3:$L$66,1,0))&gt;3,IF(TYPE(VLOOKUP($A125,'3.kolo'!$O$3:$Q$66,3,0))&gt;3,0,VLOOKUP($A125,'3.kolo'!$O$3:$Q$66,3,0)),VLOOKUP($A125,'3.kolo'!$L$3:$N$66,3,0))</f>
        <v>0</v>
      </c>
      <c r="BB125" s="333">
        <f t="shared" ca="1" si="55"/>
        <v>0</v>
      </c>
      <c r="BC125" s="415" t="s">
        <v>2005</v>
      </c>
      <c r="BD125" s="442" t="str">
        <f ca="1">IF(BC125="","",CONCATENATE(TEXT($O125,"0"),IF(Start.listina!$Y$5="","",TEXT(500+$P125,"000")),TEXT(999999*RAND(),"000000")))</f>
        <v/>
      </c>
      <c r="BE125" s="333">
        <f t="shared" ca="1" si="64"/>
        <v>0</v>
      </c>
      <c r="BH125" s="333" t="str">
        <f ca="1">IF(TYPE(VLOOKUP($A125,'4.kolo'!$L$3:$L$66,1,0))&gt;3,IF(TYPE(VLOOKUP($A125,'4.kolo'!$K$3:$L$66,2,0))&gt;3,0,VLOOKUP($A125,'4.kolo'!$K$3:$L$66,2,0)),VLOOKUP($A125,'4.kolo'!$L$3:$O$66,4,0))</f>
        <v/>
      </c>
      <c r="BI125" s="333">
        <f ca="1">IF(TYPE(VLOOKUP($A125,'4.kolo'!$L$3:$L$66,1,0))&gt;3,IF(TYPE(VLOOKUP($A125,'4.kolo'!$O$3:$Q$66,2,0))&gt;3,0,VLOOKUP($A125,'4.kolo'!$O$3:$Q$66,2,0)),VLOOKUP($A125,'4.kolo'!$L$3:$N$66,2,0))</f>
        <v>0</v>
      </c>
      <c r="BJ125" s="333">
        <f ca="1">IF(TYPE(VLOOKUP($A125,'4.kolo'!$L$3:$L$66,1,0))&gt;3,IF(TYPE(VLOOKUP($A125,'4.kolo'!$O$3:$Q$66,3,0))&gt;3,0,VLOOKUP($A125,'4.kolo'!$O$3:$Q$66,3,0)),VLOOKUP($A125,'4.kolo'!$L$3:$N$66,3,0))</f>
        <v>0</v>
      </c>
      <c r="BK125" s="333">
        <f t="shared" ca="1" si="56"/>
        <v>0</v>
      </c>
      <c r="BL125" s="415" t="s">
        <v>2005</v>
      </c>
      <c r="BM125" s="442" t="str">
        <f ca="1">IF(BL125="","",CONCATENATE(TEXT($O125,"0"),IF(Start.listina!$Y$5="","",TEXT(500+$P125,"000")),TEXT(999999*RAND(),"000000")))</f>
        <v/>
      </c>
      <c r="BN125" s="333">
        <f t="shared" ca="1" si="65"/>
        <v>0</v>
      </c>
      <c r="BQ125" s="333" t="str">
        <f ca="1">IF(TYPE(VLOOKUP($A125,'5.kolo'!$L$3:$L$66,1,0))&gt;3,IF(TYPE(VLOOKUP($A125,'5.kolo'!$K$3:$L$66,2,0))&gt;3,0,VLOOKUP($A125,'5.kolo'!$K$3:$L$66,2,0)),VLOOKUP($A125,'5.kolo'!$L$3:$O$66,4,0))</f>
        <v/>
      </c>
      <c r="BR125" s="333">
        <f ca="1">IF(TYPE(VLOOKUP($A125,'5.kolo'!$L$3:$L$66,1,0))&gt;3,IF(TYPE(VLOOKUP($A125,'5.kolo'!$O$3:$Q$66,2,0))&gt;3,0,VLOOKUP($A125,'5.kolo'!$O$3:$Q$66,2,0)),VLOOKUP($A125,'5.kolo'!$L$3:$N$66,2,0))</f>
        <v>0</v>
      </c>
      <c r="BS125" s="333">
        <f ca="1">IF(TYPE(VLOOKUP($A125,'5.kolo'!$L$3:$L$66,1,0))&gt;3,IF(TYPE(VLOOKUP($A125,'5.kolo'!$O$3:$Q$66,3,0))&gt;3,0,VLOOKUP($A125,'5.kolo'!$O$3:$Q$66,3,0)),VLOOKUP($A125,'5.kolo'!$L$3:$N$66,3,0))</f>
        <v>0</v>
      </c>
      <c r="BT125" s="333">
        <f t="shared" ca="1" si="57"/>
        <v>0</v>
      </c>
      <c r="BU125" s="415"/>
      <c r="BV125" s="442" t="str">
        <f ca="1">IF(BU125="","",CONCATENATE(TEXT($O125,"0"),IF(Start.listina!$Y$5="","",TEXT(500+$P125,"000")),TEXT(999999*RAND(),"000000")))</f>
        <v/>
      </c>
      <c r="BW125" s="333">
        <f t="shared" ca="1" si="66"/>
        <v>0</v>
      </c>
      <c r="BZ125" s="333" t="str">
        <f ca="1">IF(TYPE(VLOOKUP($A125,'6.kolo'!$L$3:$L$66,1,0))&gt;3,IF(TYPE(VLOOKUP($A125,'6.kolo'!$K$3:$L$66,2,0))&gt;3,0,VLOOKUP($A125,'6.kolo'!$K$3:$L$66,2,0)),VLOOKUP($A125,'6.kolo'!$L$3:$O$66,4,0))</f>
        <v/>
      </c>
      <c r="CA125" s="333">
        <f ca="1">IF(TYPE(VLOOKUP($A125,'6.kolo'!$L$3:$L$66,1,0))&gt;3,IF(TYPE(VLOOKUP($A125,'6.kolo'!$O$3:$Q$66,2,0))&gt;3,0,VLOOKUP($A125,'6.kolo'!$O$3:$Q$66,2,0)),VLOOKUP($A125,'6.kolo'!$L$3:$N$66,2,0))</f>
        <v>0</v>
      </c>
      <c r="CB125" s="333">
        <f ca="1">IF(TYPE(VLOOKUP($A125,'6.kolo'!$L$3:$L$66,1,0))&gt;3,IF(TYPE(VLOOKUP($A125,'6.kolo'!$O$3:$Q$66,3,0))&gt;3,0,VLOOKUP($A125,'6.kolo'!$O$3:$Q$66,3,0)),VLOOKUP($A125,'6.kolo'!$L$3:$N$66,3,0))</f>
        <v>0</v>
      </c>
      <c r="CC125" s="333">
        <f t="shared" ca="1" si="58"/>
        <v>0</v>
      </c>
      <c r="CD125" s="415"/>
      <c r="CE125" s="442" t="str">
        <f ca="1">IF(CD125="","",CONCATENATE(TEXT($O125,"0"),IF(Start.listina!$Y$5="","",TEXT(500+$P125,"000")),TEXT(999999*RAND(),"000000")))</f>
        <v/>
      </c>
      <c r="CF125" s="333">
        <f t="shared" ca="1" si="67"/>
        <v>0</v>
      </c>
    </row>
    <row r="126" spans="1:84" x14ac:dyDescent="0.25">
      <c r="A126" s="333" t="str">
        <f>IF(OR(Start.listina!H134&gt;Start.listina!$K$7,Start.listina!G134=TRUE),"",Start.listina!H134)</f>
        <v/>
      </c>
      <c r="B126" s="333" t="str">
        <f>IF($A126&gt;Start.listina!$K$7,"",INT(($A126-1)/Start.listina!$O$7)+1)</f>
        <v/>
      </c>
      <c r="C126" s="439" t="str">
        <f>IF(OR(Start.listina!H134&gt;Start.listina!$K$7,Start.listina!G134=TRUE)," - ",Start.listina!AL134)</f>
        <v xml:space="preserve"> - </v>
      </c>
      <c r="D126" s="333" t="str">
        <f>IF(OR(A126&gt;Start.listina!$K$7,TYPE(VLOOKUP(A126,$V$3:$X$130,3,0))&gt;3),"",VLOOKUP(A126,$V$3:$X$130,3,0))</f>
        <v/>
      </c>
      <c r="E126" s="440" t="str">
        <f>IF(A126&gt;Start.listina!$K$7,"",IF(MIN(F126:K126)&gt;Start.listina!$Y$4,D126,MIN(F126:K126)))</f>
        <v/>
      </c>
      <c r="F126" s="333">
        <f ca="1">IF(TYPE(VLOOKUP(C126,Konečné_pořadí_1_16!$B$2:$D$17,3,0))&lt;4,VLOOKUP(C126,Konečné_pořadí_1_16!$B$2:$D$17,3,0),999)</f>
        <v>999</v>
      </c>
      <c r="G126" s="333">
        <f ca="1">IF(TYPE(VLOOKUP(C126,'KO64'!$D$4:$D$129,1,0))&lt;4,64,999)</f>
        <v>64</v>
      </c>
      <c r="H126" s="333">
        <f ca="1">IF(TYPE(VLOOKUP(C126,'KO32'!$D$4:$D$65,1,0))&lt;4,32,999)</f>
        <v>32</v>
      </c>
      <c r="I126" s="333">
        <f ca="1">IF(TYPE(VLOOKUP(C126,'KO16'!$D$4:$D$33,1,0))&lt;4,16,999)</f>
        <v>999</v>
      </c>
      <c r="J126" s="333">
        <f ca="1">IF(TYPE(VLOOKUP(C126,'KO8'!$D$4:$D$17,1,0))&lt;4,8,999)</f>
        <v>999</v>
      </c>
      <c r="K126" s="333">
        <f ca="1">IF(TYPE(VLOOKUP(C126,'KO4'!$D$4:$D$9,1,0))&lt;4,4,999)</f>
        <v>999</v>
      </c>
      <c r="M126" s="334">
        <v>124</v>
      </c>
      <c r="O126" s="333">
        <f t="shared" ca="1" si="42"/>
        <v>0</v>
      </c>
      <c r="P126" s="333">
        <f t="shared" ca="1" si="43"/>
        <v>0</v>
      </c>
      <c r="Q126" s="333">
        <f t="shared" ca="1" si="60"/>
        <v>2</v>
      </c>
      <c r="R126" s="333">
        <f t="shared" ca="1" si="61"/>
        <v>0</v>
      </c>
      <c r="S126" s="333">
        <f t="shared" ca="1" si="44"/>
        <v>16</v>
      </c>
      <c r="T126" s="333">
        <f t="shared" ca="1" si="45"/>
        <v>0</v>
      </c>
      <c r="U126" s="415">
        <f t="shared" si="59"/>
        <v>124</v>
      </c>
      <c r="V126" s="415" t="s">
        <v>2005</v>
      </c>
      <c r="W126" s="441" t="str">
        <f ca="1">IF($V126="","",CONCATENATE(TEXT($O126,"0"),IF(Start.listina!$Y$5="","",TEXT(500+$P126,"0000")),IF(Start.listina!$Y$6="","",CHOOSE(Start.listina!$Y$7,TEXT($Q126,"00"),CONCATENATE(TEXT($Q126,"00"),TEXT($S126,"000")), TEXT($R126,"00"))),TEXT(500+$P126,"0000"),IF(Start.listina!$Y$8="","",TEXT($T126,"0")),TEXT(999999*RAND(),"000000")))</f>
        <v/>
      </c>
      <c r="X126" s="417">
        <f t="shared" si="46"/>
        <v>124</v>
      </c>
      <c r="Y126" s="415">
        <f t="shared" ca="1" si="62"/>
        <v>0</v>
      </c>
      <c r="Z126" s="333">
        <f t="shared" ca="1" si="47"/>
        <v>51</v>
      </c>
      <c r="AA126" s="333" t="str">
        <f t="shared" ca="1" si="48"/>
        <v/>
      </c>
      <c r="AB126" s="333" t="str">
        <f t="shared" ca="1" si="49"/>
        <v/>
      </c>
      <c r="AC126" s="333" t="str">
        <f t="shared" ca="1" si="50"/>
        <v/>
      </c>
      <c r="AD126" s="333" t="str">
        <f t="shared" ca="1" si="51"/>
        <v/>
      </c>
      <c r="AE126" s="333" t="str">
        <f t="shared" ca="1" si="52"/>
        <v/>
      </c>
      <c r="AG126" s="333">
        <f ca="1">IF(TYPE(VLOOKUP($A126,'1.kolo'!$L$3:$L$66,1,0))&gt;3,VLOOKUP($A126,'1.kolo'!$K$3:$L$66,2,0),VLOOKUP($A126,'1.kolo'!$L$3:$O$66,4,0))</f>
        <v>51</v>
      </c>
      <c r="AH126" s="333">
        <f ca="1">IF(TYPE(VLOOKUP($A126,'1.kolo'!$L$3:$L$66,1,0))&gt;3,VLOOKUP($A126,'1.kolo'!$O$3:$Q$66,2,0),VLOOKUP($A126,'1.kolo'!$L$3:$N$66,2,0))</f>
        <v>0</v>
      </c>
      <c r="AI126" s="333">
        <f ca="1">IF(TYPE(VLOOKUP($A126,'1.kolo'!$L$3:$L$66,1,0))&gt;3,VLOOKUP($A126,'1.kolo'!$O$3:$Q$66,3,0),VLOOKUP($A126,'1.kolo'!$L$3:$N$66,3,0))</f>
        <v>0</v>
      </c>
      <c r="AJ126" s="333">
        <f t="shared" ca="1" si="53"/>
        <v>0</v>
      </c>
      <c r="AK126" s="333">
        <v>124</v>
      </c>
      <c r="AL126" s="442"/>
      <c r="AP126" s="333" t="str">
        <f ca="1">IF(TYPE(VLOOKUP($A126,'2.kolo'!$L$3:$L$66,1,0))&gt;3,IF(TYPE(VLOOKUP($A126,'2.kolo'!$K$3:$L$66,2,0))&gt;3,0,VLOOKUP($A126,'2.kolo'!$K$3:$L$66,2,0)),VLOOKUP($A126,'2.kolo'!$L$3:$O$66,4,0))</f>
        <v/>
      </c>
      <c r="AQ126" s="333">
        <f ca="1">IF(TYPE(VLOOKUP($A126,'2.kolo'!$L$3:$L$66,1,0))&gt;3,IF(TYPE(VLOOKUP($A126,'2.kolo'!$O$3:$Q$66,2,0))&gt;3,0,VLOOKUP($A126,'2.kolo'!$O$3:$Q$66,2,0)),VLOOKUP($A126,'2.kolo'!$L$3:$N$66,2,0))</f>
        <v>0</v>
      </c>
      <c r="AR126" s="333">
        <f ca="1">IF(TYPE(VLOOKUP($A126,'2.kolo'!$L$3:$L$66,1,0))&gt;3,IF(TYPE(VLOOKUP($A126,'2.kolo'!$O$3:$Q$66,3,0))&gt;3,0,VLOOKUP($A126,'2.kolo'!$O$3:$Q$66,3,0)),VLOOKUP($A126,'2.kolo'!$L$3:$N$66,3,0))</f>
        <v>0</v>
      </c>
      <c r="AS126" s="333">
        <f t="shared" ca="1" si="54"/>
        <v>0</v>
      </c>
      <c r="AT126" s="415" t="s">
        <v>2005</v>
      </c>
      <c r="AU126" s="442" t="str">
        <f ca="1">IF(AT126="","",CONCATENATE(TEXT($O126,"0"),IF(Start.listina!$Y$5="","",TEXT(500+$P126,"000")),TEXT(999999*RAND(),"000000")))</f>
        <v/>
      </c>
      <c r="AV126" s="333">
        <f t="shared" ca="1" si="63"/>
        <v>0</v>
      </c>
      <c r="AY126" s="333" t="str">
        <f ca="1">IF(TYPE(VLOOKUP($A126,'3.kolo'!$L$3:$L$66,1,0))&gt;3,IF(TYPE(VLOOKUP($A126,'3.kolo'!$K$3:$L$66,2,0))&gt;3,0,VLOOKUP($A126,'3.kolo'!$K$3:$L$66,2,0)),VLOOKUP($A126,'3.kolo'!$L$3:$O$66,4,0))</f>
        <v/>
      </c>
      <c r="AZ126" s="333">
        <f ca="1">IF(TYPE(VLOOKUP($A126,'3.kolo'!$L$3:$L$66,1,0))&gt;3,IF(TYPE(VLOOKUP($A126,'3.kolo'!$O$3:$Q$66,2,0))&gt;3,0,VLOOKUP($A126,'3.kolo'!$O$3:$Q$66,2,0)),VLOOKUP($A126,'3.kolo'!$L$3:$N$66,2,0))</f>
        <v>0</v>
      </c>
      <c r="BA126" s="333">
        <f ca="1">IF(TYPE(VLOOKUP($A126,'3.kolo'!$L$3:$L$66,1,0))&gt;3,IF(TYPE(VLOOKUP($A126,'3.kolo'!$O$3:$Q$66,3,0))&gt;3,0,VLOOKUP($A126,'3.kolo'!$O$3:$Q$66,3,0)),VLOOKUP($A126,'3.kolo'!$L$3:$N$66,3,0))</f>
        <v>0</v>
      </c>
      <c r="BB126" s="333">
        <f t="shared" ca="1" si="55"/>
        <v>0</v>
      </c>
      <c r="BC126" s="415" t="s">
        <v>2005</v>
      </c>
      <c r="BD126" s="442" t="str">
        <f ca="1">IF(BC126="","",CONCATENATE(TEXT($O126,"0"),IF(Start.listina!$Y$5="","",TEXT(500+$P126,"000")),TEXT(999999*RAND(),"000000")))</f>
        <v/>
      </c>
      <c r="BE126" s="333">
        <f t="shared" ca="1" si="64"/>
        <v>0</v>
      </c>
      <c r="BH126" s="333" t="str">
        <f ca="1">IF(TYPE(VLOOKUP($A126,'4.kolo'!$L$3:$L$66,1,0))&gt;3,IF(TYPE(VLOOKUP($A126,'4.kolo'!$K$3:$L$66,2,0))&gt;3,0,VLOOKUP($A126,'4.kolo'!$K$3:$L$66,2,0)),VLOOKUP($A126,'4.kolo'!$L$3:$O$66,4,0))</f>
        <v/>
      </c>
      <c r="BI126" s="333">
        <f ca="1">IF(TYPE(VLOOKUP($A126,'4.kolo'!$L$3:$L$66,1,0))&gt;3,IF(TYPE(VLOOKUP($A126,'4.kolo'!$O$3:$Q$66,2,0))&gt;3,0,VLOOKUP($A126,'4.kolo'!$O$3:$Q$66,2,0)),VLOOKUP($A126,'4.kolo'!$L$3:$N$66,2,0))</f>
        <v>0</v>
      </c>
      <c r="BJ126" s="333">
        <f ca="1">IF(TYPE(VLOOKUP($A126,'4.kolo'!$L$3:$L$66,1,0))&gt;3,IF(TYPE(VLOOKUP($A126,'4.kolo'!$O$3:$Q$66,3,0))&gt;3,0,VLOOKUP($A126,'4.kolo'!$O$3:$Q$66,3,0)),VLOOKUP($A126,'4.kolo'!$L$3:$N$66,3,0))</f>
        <v>0</v>
      </c>
      <c r="BK126" s="333">
        <f t="shared" ca="1" si="56"/>
        <v>0</v>
      </c>
      <c r="BL126" s="415" t="s">
        <v>2005</v>
      </c>
      <c r="BM126" s="442" t="str">
        <f ca="1">IF(BL126="","",CONCATENATE(TEXT($O126,"0"),IF(Start.listina!$Y$5="","",TEXT(500+$P126,"000")),TEXT(999999*RAND(),"000000")))</f>
        <v/>
      </c>
      <c r="BN126" s="333">
        <f t="shared" ca="1" si="65"/>
        <v>0</v>
      </c>
      <c r="BQ126" s="333" t="str">
        <f ca="1">IF(TYPE(VLOOKUP($A126,'5.kolo'!$L$3:$L$66,1,0))&gt;3,IF(TYPE(VLOOKUP($A126,'5.kolo'!$K$3:$L$66,2,0))&gt;3,0,VLOOKUP($A126,'5.kolo'!$K$3:$L$66,2,0)),VLOOKUP($A126,'5.kolo'!$L$3:$O$66,4,0))</f>
        <v/>
      </c>
      <c r="BR126" s="333">
        <f ca="1">IF(TYPE(VLOOKUP($A126,'5.kolo'!$L$3:$L$66,1,0))&gt;3,IF(TYPE(VLOOKUP($A126,'5.kolo'!$O$3:$Q$66,2,0))&gt;3,0,VLOOKUP($A126,'5.kolo'!$O$3:$Q$66,2,0)),VLOOKUP($A126,'5.kolo'!$L$3:$N$66,2,0))</f>
        <v>0</v>
      </c>
      <c r="BS126" s="333">
        <f ca="1">IF(TYPE(VLOOKUP($A126,'5.kolo'!$L$3:$L$66,1,0))&gt;3,IF(TYPE(VLOOKUP($A126,'5.kolo'!$O$3:$Q$66,3,0))&gt;3,0,VLOOKUP($A126,'5.kolo'!$O$3:$Q$66,3,0)),VLOOKUP($A126,'5.kolo'!$L$3:$N$66,3,0))</f>
        <v>0</v>
      </c>
      <c r="BT126" s="333">
        <f t="shared" ca="1" si="57"/>
        <v>0</v>
      </c>
      <c r="BU126" s="415"/>
      <c r="BV126" s="442" t="str">
        <f ca="1">IF(BU126="","",CONCATENATE(TEXT($O126,"0"),IF(Start.listina!$Y$5="","",TEXT(500+$P126,"000")),TEXT(999999*RAND(),"000000")))</f>
        <v/>
      </c>
      <c r="BW126" s="333">
        <f t="shared" ca="1" si="66"/>
        <v>0</v>
      </c>
      <c r="BZ126" s="333" t="str">
        <f ca="1">IF(TYPE(VLOOKUP($A126,'6.kolo'!$L$3:$L$66,1,0))&gt;3,IF(TYPE(VLOOKUP($A126,'6.kolo'!$K$3:$L$66,2,0))&gt;3,0,VLOOKUP($A126,'6.kolo'!$K$3:$L$66,2,0)),VLOOKUP($A126,'6.kolo'!$L$3:$O$66,4,0))</f>
        <v/>
      </c>
      <c r="CA126" s="333">
        <f ca="1">IF(TYPE(VLOOKUP($A126,'6.kolo'!$L$3:$L$66,1,0))&gt;3,IF(TYPE(VLOOKUP($A126,'6.kolo'!$O$3:$Q$66,2,0))&gt;3,0,VLOOKUP($A126,'6.kolo'!$O$3:$Q$66,2,0)),VLOOKUP($A126,'6.kolo'!$L$3:$N$66,2,0))</f>
        <v>0</v>
      </c>
      <c r="CB126" s="333">
        <f ca="1">IF(TYPE(VLOOKUP($A126,'6.kolo'!$L$3:$L$66,1,0))&gt;3,IF(TYPE(VLOOKUP($A126,'6.kolo'!$O$3:$Q$66,3,0))&gt;3,0,VLOOKUP($A126,'6.kolo'!$O$3:$Q$66,3,0)),VLOOKUP($A126,'6.kolo'!$L$3:$N$66,3,0))</f>
        <v>0</v>
      </c>
      <c r="CC126" s="333">
        <f t="shared" ca="1" si="58"/>
        <v>0</v>
      </c>
      <c r="CD126" s="415"/>
      <c r="CE126" s="442" t="str">
        <f ca="1">IF(CD126="","",CONCATENATE(TEXT($O126,"0"),IF(Start.listina!$Y$5="","",TEXT(500+$P126,"000")),TEXT(999999*RAND(),"000000")))</f>
        <v/>
      </c>
      <c r="CF126" s="333">
        <f t="shared" ca="1" si="67"/>
        <v>0</v>
      </c>
    </row>
    <row r="127" spans="1:84" x14ac:dyDescent="0.25">
      <c r="A127" s="333" t="str">
        <f>IF(OR(Start.listina!H135&gt;Start.listina!$K$7,Start.listina!G135=TRUE),"",Start.listina!H135)</f>
        <v/>
      </c>
      <c r="B127" s="333" t="str">
        <f>IF($A127&gt;Start.listina!$K$7,"",INT(($A127-1)/Start.listina!$O$7)+1)</f>
        <v/>
      </c>
      <c r="C127" s="439" t="str">
        <f>IF(OR(Start.listina!H135&gt;Start.listina!$K$7,Start.listina!G135=TRUE)," - ",Start.listina!AL135)</f>
        <v xml:space="preserve"> - </v>
      </c>
      <c r="D127" s="333" t="str">
        <f>IF(OR(A127&gt;Start.listina!$K$7,TYPE(VLOOKUP(A127,$V$3:$X$130,3,0))&gt;3),"",VLOOKUP(A127,$V$3:$X$130,3,0))</f>
        <v/>
      </c>
      <c r="E127" s="440" t="str">
        <f>IF(A127&gt;Start.listina!$K$7,"",IF(MIN(F127:K127)&gt;Start.listina!$Y$4,D127,MIN(F127:K127)))</f>
        <v/>
      </c>
      <c r="F127" s="333">
        <f ca="1">IF(TYPE(VLOOKUP(C127,Konečné_pořadí_1_16!$B$2:$D$17,3,0))&lt;4,VLOOKUP(C127,Konečné_pořadí_1_16!$B$2:$D$17,3,0),999)</f>
        <v>999</v>
      </c>
      <c r="G127" s="333">
        <f ca="1">IF(TYPE(VLOOKUP(C127,'KO64'!$D$4:$D$129,1,0))&lt;4,64,999)</f>
        <v>64</v>
      </c>
      <c r="H127" s="333">
        <f ca="1">IF(TYPE(VLOOKUP(C127,'KO32'!$D$4:$D$65,1,0))&lt;4,32,999)</f>
        <v>32</v>
      </c>
      <c r="I127" s="333">
        <f ca="1">IF(TYPE(VLOOKUP(C127,'KO16'!$D$4:$D$33,1,0))&lt;4,16,999)</f>
        <v>999</v>
      </c>
      <c r="J127" s="333">
        <f ca="1">IF(TYPE(VLOOKUP(C127,'KO8'!$D$4:$D$17,1,0))&lt;4,8,999)</f>
        <v>999</v>
      </c>
      <c r="K127" s="333">
        <f ca="1">IF(TYPE(VLOOKUP(C127,'KO4'!$D$4:$D$9,1,0))&lt;4,4,999)</f>
        <v>999</v>
      </c>
      <c r="M127" s="334">
        <v>125</v>
      </c>
      <c r="O127" s="333">
        <f t="shared" ca="1" si="42"/>
        <v>0</v>
      </c>
      <c r="P127" s="333">
        <f t="shared" ca="1" si="43"/>
        <v>0</v>
      </c>
      <c r="Q127" s="333">
        <f t="shared" ca="1" si="60"/>
        <v>2</v>
      </c>
      <c r="R127" s="333">
        <f t="shared" ca="1" si="61"/>
        <v>0</v>
      </c>
      <c r="S127" s="333">
        <f t="shared" ca="1" si="44"/>
        <v>16</v>
      </c>
      <c r="T127" s="333">
        <f t="shared" ca="1" si="45"/>
        <v>0</v>
      </c>
      <c r="U127" s="415">
        <f t="shared" si="59"/>
        <v>125</v>
      </c>
      <c r="V127" s="415" t="s">
        <v>2005</v>
      </c>
      <c r="W127" s="441" t="str">
        <f ca="1">IF($V127="","",CONCATENATE(TEXT($O127,"0"),IF(Start.listina!$Y$5="","",TEXT(500+$P127,"0000")),IF(Start.listina!$Y$6="","",CHOOSE(Start.listina!$Y$7,TEXT($Q127,"00"),CONCATENATE(TEXT($Q127,"00"),TEXT($S127,"000")), TEXT($R127,"00"))),TEXT(500+$P127,"0000"),IF(Start.listina!$Y$8="","",TEXT($T127,"0")),TEXT(999999*RAND(),"000000")))</f>
        <v/>
      </c>
      <c r="X127" s="417">
        <f t="shared" si="46"/>
        <v>125</v>
      </c>
      <c r="Y127" s="415">
        <f t="shared" ca="1" si="62"/>
        <v>0</v>
      </c>
      <c r="Z127" s="333">
        <f t="shared" ca="1" si="47"/>
        <v>51</v>
      </c>
      <c r="AA127" s="333" t="str">
        <f t="shared" ca="1" si="48"/>
        <v/>
      </c>
      <c r="AB127" s="333" t="str">
        <f t="shared" ca="1" si="49"/>
        <v/>
      </c>
      <c r="AC127" s="333" t="str">
        <f t="shared" ca="1" si="50"/>
        <v/>
      </c>
      <c r="AD127" s="333" t="str">
        <f t="shared" ca="1" si="51"/>
        <v/>
      </c>
      <c r="AE127" s="333" t="str">
        <f t="shared" ca="1" si="52"/>
        <v/>
      </c>
      <c r="AG127" s="333">
        <f ca="1">IF(TYPE(VLOOKUP($A127,'1.kolo'!$L$3:$L$66,1,0))&gt;3,VLOOKUP($A127,'1.kolo'!$K$3:$L$66,2,0),VLOOKUP($A127,'1.kolo'!$L$3:$O$66,4,0))</f>
        <v>51</v>
      </c>
      <c r="AH127" s="333">
        <f ca="1">IF(TYPE(VLOOKUP($A127,'1.kolo'!$L$3:$L$66,1,0))&gt;3,VLOOKUP($A127,'1.kolo'!$O$3:$Q$66,2,0),VLOOKUP($A127,'1.kolo'!$L$3:$N$66,2,0))</f>
        <v>0</v>
      </c>
      <c r="AI127" s="333">
        <f ca="1">IF(TYPE(VLOOKUP($A127,'1.kolo'!$L$3:$L$66,1,0))&gt;3,VLOOKUP($A127,'1.kolo'!$O$3:$Q$66,3,0),VLOOKUP($A127,'1.kolo'!$L$3:$N$66,3,0))</f>
        <v>0</v>
      </c>
      <c r="AJ127" s="333">
        <f t="shared" ca="1" si="53"/>
        <v>0</v>
      </c>
      <c r="AK127" s="333">
        <v>125</v>
      </c>
      <c r="AL127" s="442"/>
      <c r="AP127" s="333" t="str">
        <f ca="1">IF(TYPE(VLOOKUP($A127,'2.kolo'!$L$3:$L$66,1,0))&gt;3,IF(TYPE(VLOOKUP($A127,'2.kolo'!$K$3:$L$66,2,0))&gt;3,0,VLOOKUP($A127,'2.kolo'!$K$3:$L$66,2,0)),VLOOKUP($A127,'2.kolo'!$L$3:$O$66,4,0))</f>
        <v/>
      </c>
      <c r="AQ127" s="333">
        <f ca="1">IF(TYPE(VLOOKUP($A127,'2.kolo'!$L$3:$L$66,1,0))&gt;3,IF(TYPE(VLOOKUP($A127,'2.kolo'!$O$3:$Q$66,2,0))&gt;3,0,VLOOKUP($A127,'2.kolo'!$O$3:$Q$66,2,0)),VLOOKUP($A127,'2.kolo'!$L$3:$N$66,2,0))</f>
        <v>0</v>
      </c>
      <c r="AR127" s="333">
        <f ca="1">IF(TYPE(VLOOKUP($A127,'2.kolo'!$L$3:$L$66,1,0))&gt;3,IF(TYPE(VLOOKUP($A127,'2.kolo'!$O$3:$Q$66,3,0))&gt;3,0,VLOOKUP($A127,'2.kolo'!$O$3:$Q$66,3,0)),VLOOKUP($A127,'2.kolo'!$L$3:$N$66,3,0))</f>
        <v>0</v>
      </c>
      <c r="AS127" s="333">
        <f t="shared" ca="1" si="54"/>
        <v>0</v>
      </c>
      <c r="AT127" s="415" t="s">
        <v>2005</v>
      </c>
      <c r="AU127" s="442" t="str">
        <f ca="1">IF(AT127="","",CONCATENATE(TEXT($O127,"0"),IF(Start.listina!$Y$5="","",TEXT(500+$P127,"000")),TEXT(999999*RAND(),"000000")))</f>
        <v/>
      </c>
      <c r="AV127" s="333">
        <f t="shared" ca="1" si="63"/>
        <v>0</v>
      </c>
      <c r="AY127" s="333" t="str">
        <f ca="1">IF(TYPE(VLOOKUP($A127,'3.kolo'!$L$3:$L$66,1,0))&gt;3,IF(TYPE(VLOOKUP($A127,'3.kolo'!$K$3:$L$66,2,0))&gt;3,0,VLOOKUP($A127,'3.kolo'!$K$3:$L$66,2,0)),VLOOKUP($A127,'3.kolo'!$L$3:$O$66,4,0))</f>
        <v/>
      </c>
      <c r="AZ127" s="333">
        <f ca="1">IF(TYPE(VLOOKUP($A127,'3.kolo'!$L$3:$L$66,1,0))&gt;3,IF(TYPE(VLOOKUP($A127,'3.kolo'!$O$3:$Q$66,2,0))&gt;3,0,VLOOKUP($A127,'3.kolo'!$O$3:$Q$66,2,0)),VLOOKUP($A127,'3.kolo'!$L$3:$N$66,2,0))</f>
        <v>0</v>
      </c>
      <c r="BA127" s="333">
        <f ca="1">IF(TYPE(VLOOKUP($A127,'3.kolo'!$L$3:$L$66,1,0))&gt;3,IF(TYPE(VLOOKUP($A127,'3.kolo'!$O$3:$Q$66,3,0))&gt;3,0,VLOOKUP($A127,'3.kolo'!$O$3:$Q$66,3,0)),VLOOKUP($A127,'3.kolo'!$L$3:$N$66,3,0))</f>
        <v>0</v>
      </c>
      <c r="BB127" s="333">
        <f t="shared" ca="1" si="55"/>
        <v>0</v>
      </c>
      <c r="BC127" s="415" t="s">
        <v>2005</v>
      </c>
      <c r="BD127" s="442" t="str">
        <f ca="1">IF(BC127="","",CONCATENATE(TEXT($O127,"0"),IF(Start.listina!$Y$5="","",TEXT(500+$P127,"000")),TEXT(999999*RAND(),"000000")))</f>
        <v/>
      </c>
      <c r="BE127" s="333">
        <f t="shared" ca="1" si="64"/>
        <v>0</v>
      </c>
      <c r="BH127" s="333" t="str">
        <f ca="1">IF(TYPE(VLOOKUP($A127,'4.kolo'!$L$3:$L$66,1,0))&gt;3,IF(TYPE(VLOOKUP($A127,'4.kolo'!$K$3:$L$66,2,0))&gt;3,0,VLOOKUP($A127,'4.kolo'!$K$3:$L$66,2,0)),VLOOKUP($A127,'4.kolo'!$L$3:$O$66,4,0))</f>
        <v/>
      </c>
      <c r="BI127" s="333">
        <f ca="1">IF(TYPE(VLOOKUP($A127,'4.kolo'!$L$3:$L$66,1,0))&gt;3,IF(TYPE(VLOOKUP($A127,'4.kolo'!$O$3:$Q$66,2,0))&gt;3,0,VLOOKUP($A127,'4.kolo'!$O$3:$Q$66,2,0)),VLOOKUP($A127,'4.kolo'!$L$3:$N$66,2,0))</f>
        <v>0</v>
      </c>
      <c r="BJ127" s="333">
        <f ca="1">IF(TYPE(VLOOKUP($A127,'4.kolo'!$L$3:$L$66,1,0))&gt;3,IF(TYPE(VLOOKUP($A127,'4.kolo'!$O$3:$Q$66,3,0))&gt;3,0,VLOOKUP($A127,'4.kolo'!$O$3:$Q$66,3,0)),VLOOKUP($A127,'4.kolo'!$L$3:$N$66,3,0))</f>
        <v>0</v>
      </c>
      <c r="BK127" s="333">
        <f t="shared" ca="1" si="56"/>
        <v>0</v>
      </c>
      <c r="BL127" s="415" t="s">
        <v>2005</v>
      </c>
      <c r="BM127" s="442" t="str">
        <f ca="1">IF(BL127="","",CONCATENATE(TEXT($O127,"0"),IF(Start.listina!$Y$5="","",TEXT(500+$P127,"000")),TEXT(999999*RAND(),"000000")))</f>
        <v/>
      </c>
      <c r="BN127" s="333">
        <f t="shared" ca="1" si="65"/>
        <v>0</v>
      </c>
      <c r="BQ127" s="333" t="str">
        <f ca="1">IF(TYPE(VLOOKUP($A127,'5.kolo'!$L$3:$L$66,1,0))&gt;3,IF(TYPE(VLOOKUP($A127,'5.kolo'!$K$3:$L$66,2,0))&gt;3,0,VLOOKUP($A127,'5.kolo'!$K$3:$L$66,2,0)),VLOOKUP($A127,'5.kolo'!$L$3:$O$66,4,0))</f>
        <v/>
      </c>
      <c r="BR127" s="333">
        <f ca="1">IF(TYPE(VLOOKUP($A127,'5.kolo'!$L$3:$L$66,1,0))&gt;3,IF(TYPE(VLOOKUP($A127,'5.kolo'!$O$3:$Q$66,2,0))&gt;3,0,VLOOKUP($A127,'5.kolo'!$O$3:$Q$66,2,0)),VLOOKUP($A127,'5.kolo'!$L$3:$N$66,2,0))</f>
        <v>0</v>
      </c>
      <c r="BS127" s="333">
        <f ca="1">IF(TYPE(VLOOKUP($A127,'5.kolo'!$L$3:$L$66,1,0))&gt;3,IF(TYPE(VLOOKUP($A127,'5.kolo'!$O$3:$Q$66,3,0))&gt;3,0,VLOOKUP($A127,'5.kolo'!$O$3:$Q$66,3,0)),VLOOKUP($A127,'5.kolo'!$L$3:$N$66,3,0))</f>
        <v>0</v>
      </c>
      <c r="BT127" s="333">
        <f t="shared" ca="1" si="57"/>
        <v>0</v>
      </c>
      <c r="BU127" s="415"/>
      <c r="BV127" s="442" t="str">
        <f ca="1">IF(BU127="","",CONCATENATE(TEXT($O127,"0"),IF(Start.listina!$Y$5="","",TEXT(500+$P127,"000")),TEXT(999999*RAND(),"000000")))</f>
        <v/>
      </c>
      <c r="BW127" s="333">
        <f t="shared" ca="1" si="66"/>
        <v>0</v>
      </c>
      <c r="BZ127" s="333" t="str">
        <f ca="1">IF(TYPE(VLOOKUP($A127,'6.kolo'!$L$3:$L$66,1,0))&gt;3,IF(TYPE(VLOOKUP($A127,'6.kolo'!$K$3:$L$66,2,0))&gt;3,0,VLOOKUP($A127,'6.kolo'!$K$3:$L$66,2,0)),VLOOKUP($A127,'6.kolo'!$L$3:$O$66,4,0))</f>
        <v/>
      </c>
      <c r="CA127" s="333">
        <f ca="1">IF(TYPE(VLOOKUP($A127,'6.kolo'!$L$3:$L$66,1,0))&gt;3,IF(TYPE(VLOOKUP($A127,'6.kolo'!$O$3:$Q$66,2,0))&gt;3,0,VLOOKUP($A127,'6.kolo'!$O$3:$Q$66,2,0)),VLOOKUP($A127,'6.kolo'!$L$3:$N$66,2,0))</f>
        <v>0</v>
      </c>
      <c r="CB127" s="333">
        <f ca="1">IF(TYPE(VLOOKUP($A127,'6.kolo'!$L$3:$L$66,1,0))&gt;3,IF(TYPE(VLOOKUP($A127,'6.kolo'!$O$3:$Q$66,3,0))&gt;3,0,VLOOKUP($A127,'6.kolo'!$O$3:$Q$66,3,0)),VLOOKUP($A127,'6.kolo'!$L$3:$N$66,3,0))</f>
        <v>0</v>
      </c>
      <c r="CC127" s="333">
        <f t="shared" ca="1" si="58"/>
        <v>0</v>
      </c>
      <c r="CD127" s="415"/>
      <c r="CE127" s="442" t="str">
        <f ca="1">IF(CD127="","",CONCATENATE(TEXT($O127,"0"),IF(Start.listina!$Y$5="","",TEXT(500+$P127,"000")),TEXT(999999*RAND(),"000000")))</f>
        <v/>
      </c>
      <c r="CF127" s="333">
        <f t="shared" ca="1" si="67"/>
        <v>0</v>
      </c>
    </row>
    <row r="128" spans="1:84" x14ac:dyDescent="0.25">
      <c r="A128" s="333" t="str">
        <f>IF(OR(Start.listina!H136&gt;Start.listina!$K$7,Start.listina!G136=TRUE),"",Start.listina!H136)</f>
        <v/>
      </c>
      <c r="B128" s="333" t="str">
        <f>IF($A128&gt;Start.listina!$K$7,"",INT(($A128-1)/Start.listina!$O$7)+1)</f>
        <v/>
      </c>
      <c r="C128" s="439" t="str">
        <f>IF(OR(Start.listina!H136&gt;Start.listina!$K$7,Start.listina!G136=TRUE)," - ",Start.listina!AL136)</f>
        <v xml:space="preserve"> - </v>
      </c>
      <c r="D128" s="333" t="str">
        <f>IF(OR(A128&gt;Start.listina!$K$7,TYPE(VLOOKUP(A128,$V$3:$X$130,3,0))&gt;3),"",VLOOKUP(A128,$V$3:$X$130,3,0))</f>
        <v/>
      </c>
      <c r="E128" s="440" t="str">
        <f>IF(A128&gt;Start.listina!$K$7,"",IF(MIN(F128:K128)&gt;Start.listina!$Y$4,D128,MIN(F128:K128)))</f>
        <v/>
      </c>
      <c r="F128" s="333">
        <f ca="1">IF(TYPE(VLOOKUP(C128,Konečné_pořadí_1_16!$B$2:$D$17,3,0))&lt;4,VLOOKUP(C128,Konečné_pořadí_1_16!$B$2:$D$17,3,0),999)</f>
        <v>999</v>
      </c>
      <c r="G128" s="333">
        <f ca="1">IF(TYPE(VLOOKUP(C128,'KO64'!$D$4:$D$129,1,0))&lt;4,64,999)</f>
        <v>64</v>
      </c>
      <c r="H128" s="333">
        <f ca="1">IF(TYPE(VLOOKUP(C128,'KO32'!$D$4:$D$65,1,0))&lt;4,32,999)</f>
        <v>32</v>
      </c>
      <c r="I128" s="333">
        <f ca="1">IF(TYPE(VLOOKUP(C128,'KO16'!$D$4:$D$33,1,0))&lt;4,16,999)</f>
        <v>999</v>
      </c>
      <c r="J128" s="333">
        <f ca="1">IF(TYPE(VLOOKUP(C128,'KO8'!$D$4:$D$17,1,0))&lt;4,8,999)</f>
        <v>999</v>
      </c>
      <c r="K128" s="333">
        <f ca="1">IF(TYPE(VLOOKUP(C128,'KO4'!$D$4:$D$9,1,0))&lt;4,4,999)</f>
        <v>999</v>
      </c>
      <c r="M128" s="334">
        <v>126</v>
      </c>
      <c r="O128" s="333">
        <f t="shared" ca="1" si="42"/>
        <v>0</v>
      </c>
      <c r="P128" s="333">
        <f t="shared" ca="1" si="43"/>
        <v>0</v>
      </c>
      <c r="Q128" s="333">
        <f t="shared" ca="1" si="60"/>
        <v>2</v>
      </c>
      <c r="R128" s="333">
        <f t="shared" ca="1" si="61"/>
        <v>0</v>
      </c>
      <c r="S128" s="333">
        <f t="shared" ca="1" si="44"/>
        <v>16</v>
      </c>
      <c r="T128" s="333">
        <f t="shared" ca="1" si="45"/>
        <v>0</v>
      </c>
      <c r="U128" s="415">
        <f t="shared" si="59"/>
        <v>126</v>
      </c>
      <c r="V128" s="415" t="s">
        <v>2005</v>
      </c>
      <c r="W128" s="441" t="str">
        <f ca="1">IF($V128="","",CONCATENATE(TEXT($O128,"0"),IF(Start.listina!$Y$5="","",TEXT(500+$P128,"0000")),IF(Start.listina!$Y$6="","",CHOOSE(Start.listina!$Y$7,TEXT($Q128,"00"),CONCATENATE(TEXT($Q128,"00"),TEXT($S128,"000")), TEXT($R128,"00"))),TEXT(500+$P128,"0000"),IF(Start.listina!$Y$8="","",TEXT($T128,"0")),TEXT(999999*RAND(),"000000")))</f>
        <v/>
      </c>
      <c r="X128" s="417">
        <f t="shared" si="46"/>
        <v>126</v>
      </c>
      <c r="Y128" s="415">
        <f t="shared" ca="1" si="62"/>
        <v>0</v>
      </c>
      <c r="Z128" s="333">
        <f t="shared" ca="1" si="47"/>
        <v>51</v>
      </c>
      <c r="AA128" s="333" t="str">
        <f t="shared" ca="1" si="48"/>
        <v/>
      </c>
      <c r="AB128" s="333" t="str">
        <f t="shared" ca="1" si="49"/>
        <v/>
      </c>
      <c r="AC128" s="333" t="str">
        <f t="shared" ca="1" si="50"/>
        <v/>
      </c>
      <c r="AD128" s="333" t="str">
        <f t="shared" ca="1" si="51"/>
        <v/>
      </c>
      <c r="AE128" s="333" t="str">
        <f t="shared" ca="1" si="52"/>
        <v/>
      </c>
      <c r="AG128" s="333">
        <f ca="1">IF(TYPE(VLOOKUP($A128,'1.kolo'!$L$3:$L$66,1,0))&gt;3,VLOOKUP($A128,'1.kolo'!$K$3:$L$66,2,0),VLOOKUP($A128,'1.kolo'!$L$3:$O$66,4,0))</f>
        <v>51</v>
      </c>
      <c r="AH128" s="333">
        <f ca="1">IF(TYPE(VLOOKUP($A128,'1.kolo'!$L$3:$L$66,1,0))&gt;3,VLOOKUP($A128,'1.kolo'!$O$3:$Q$66,2,0),VLOOKUP($A128,'1.kolo'!$L$3:$N$66,2,0))</f>
        <v>0</v>
      </c>
      <c r="AI128" s="333">
        <f ca="1">IF(TYPE(VLOOKUP($A128,'1.kolo'!$L$3:$L$66,1,0))&gt;3,VLOOKUP($A128,'1.kolo'!$O$3:$Q$66,3,0),VLOOKUP($A128,'1.kolo'!$L$3:$N$66,3,0))</f>
        <v>0</v>
      </c>
      <c r="AJ128" s="333">
        <f t="shared" ca="1" si="53"/>
        <v>0</v>
      </c>
      <c r="AK128" s="333">
        <v>126</v>
      </c>
      <c r="AL128" s="442"/>
      <c r="AP128" s="333" t="str">
        <f ca="1">IF(TYPE(VLOOKUP($A128,'2.kolo'!$L$3:$L$66,1,0))&gt;3,IF(TYPE(VLOOKUP($A128,'2.kolo'!$K$3:$L$66,2,0))&gt;3,0,VLOOKUP($A128,'2.kolo'!$K$3:$L$66,2,0)),VLOOKUP($A128,'2.kolo'!$L$3:$O$66,4,0))</f>
        <v/>
      </c>
      <c r="AQ128" s="333">
        <f ca="1">IF(TYPE(VLOOKUP($A128,'2.kolo'!$L$3:$L$66,1,0))&gt;3,IF(TYPE(VLOOKUP($A128,'2.kolo'!$O$3:$Q$66,2,0))&gt;3,0,VLOOKUP($A128,'2.kolo'!$O$3:$Q$66,2,0)),VLOOKUP($A128,'2.kolo'!$L$3:$N$66,2,0))</f>
        <v>0</v>
      </c>
      <c r="AR128" s="333">
        <f ca="1">IF(TYPE(VLOOKUP($A128,'2.kolo'!$L$3:$L$66,1,0))&gt;3,IF(TYPE(VLOOKUP($A128,'2.kolo'!$O$3:$Q$66,3,0))&gt;3,0,VLOOKUP($A128,'2.kolo'!$O$3:$Q$66,3,0)),VLOOKUP($A128,'2.kolo'!$L$3:$N$66,3,0))</f>
        <v>0</v>
      </c>
      <c r="AS128" s="333">
        <f t="shared" ca="1" si="54"/>
        <v>0</v>
      </c>
      <c r="AT128" s="415" t="s">
        <v>2005</v>
      </c>
      <c r="AU128" s="442" t="str">
        <f ca="1">IF(AT128="","",CONCATENATE(TEXT($O128,"0"),IF(Start.listina!$Y$5="","",TEXT(500+$P128,"000")),TEXT(999999*RAND(),"000000")))</f>
        <v/>
      </c>
      <c r="AV128" s="333">
        <f t="shared" ca="1" si="63"/>
        <v>0</v>
      </c>
      <c r="AY128" s="333" t="str">
        <f ca="1">IF(TYPE(VLOOKUP($A128,'3.kolo'!$L$3:$L$66,1,0))&gt;3,IF(TYPE(VLOOKUP($A128,'3.kolo'!$K$3:$L$66,2,0))&gt;3,0,VLOOKUP($A128,'3.kolo'!$K$3:$L$66,2,0)),VLOOKUP($A128,'3.kolo'!$L$3:$O$66,4,0))</f>
        <v/>
      </c>
      <c r="AZ128" s="333">
        <f ca="1">IF(TYPE(VLOOKUP($A128,'3.kolo'!$L$3:$L$66,1,0))&gt;3,IF(TYPE(VLOOKUP($A128,'3.kolo'!$O$3:$Q$66,2,0))&gt;3,0,VLOOKUP($A128,'3.kolo'!$O$3:$Q$66,2,0)),VLOOKUP($A128,'3.kolo'!$L$3:$N$66,2,0))</f>
        <v>0</v>
      </c>
      <c r="BA128" s="333">
        <f ca="1">IF(TYPE(VLOOKUP($A128,'3.kolo'!$L$3:$L$66,1,0))&gt;3,IF(TYPE(VLOOKUP($A128,'3.kolo'!$O$3:$Q$66,3,0))&gt;3,0,VLOOKUP($A128,'3.kolo'!$O$3:$Q$66,3,0)),VLOOKUP($A128,'3.kolo'!$L$3:$N$66,3,0))</f>
        <v>0</v>
      </c>
      <c r="BB128" s="333">
        <f t="shared" ca="1" si="55"/>
        <v>0</v>
      </c>
      <c r="BC128" s="415" t="s">
        <v>2005</v>
      </c>
      <c r="BD128" s="442" t="str">
        <f ca="1">IF(BC128="","",CONCATENATE(TEXT($O128,"0"),IF(Start.listina!$Y$5="","",TEXT(500+$P128,"000")),TEXT(999999*RAND(),"000000")))</f>
        <v/>
      </c>
      <c r="BE128" s="333">
        <f t="shared" ca="1" si="64"/>
        <v>0</v>
      </c>
      <c r="BH128" s="333" t="str">
        <f ca="1">IF(TYPE(VLOOKUP($A128,'4.kolo'!$L$3:$L$66,1,0))&gt;3,IF(TYPE(VLOOKUP($A128,'4.kolo'!$K$3:$L$66,2,0))&gt;3,0,VLOOKUP($A128,'4.kolo'!$K$3:$L$66,2,0)),VLOOKUP($A128,'4.kolo'!$L$3:$O$66,4,0))</f>
        <v/>
      </c>
      <c r="BI128" s="333">
        <f ca="1">IF(TYPE(VLOOKUP($A128,'4.kolo'!$L$3:$L$66,1,0))&gt;3,IF(TYPE(VLOOKUP($A128,'4.kolo'!$O$3:$Q$66,2,0))&gt;3,0,VLOOKUP($A128,'4.kolo'!$O$3:$Q$66,2,0)),VLOOKUP($A128,'4.kolo'!$L$3:$N$66,2,0))</f>
        <v>0</v>
      </c>
      <c r="BJ128" s="333">
        <f ca="1">IF(TYPE(VLOOKUP($A128,'4.kolo'!$L$3:$L$66,1,0))&gt;3,IF(TYPE(VLOOKUP($A128,'4.kolo'!$O$3:$Q$66,3,0))&gt;3,0,VLOOKUP($A128,'4.kolo'!$O$3:$Q$66,3,0)),VLOOKUP($A128,'4.kolo'!$L$3:$N$66,3,0))</f>
        <v>0</v>
      </c>
      <c r="BK128" s="333">
        <f t="shared" ca="1" si="56"/>
        <v>0</v>
      </c>
      <c r="BL128" s="415" t="s">
        <v>2005</v>
      </c>
      <c r="BM128" s="442" t="str">
        <f ca="1">IF(BL128="","",CONCATENATE(TEXT($O128,"0"),IF(Start.listina!$Y$5="","",TEXT(500+$P128,"000")),TEXT(999999*RAND(),"000000")))</f>
        <v/>
      </c>
      <c r="BN128" s="333">
        <f t="shared" ca="1" si="65"/>
        <v>0</v>
      </c>
      <c r="BQ128" s="333" t="str">
        <f ca="1">IF(TYPE(VLOOKUP($A128,'5.kolo'!$L$3:$L$66,1,0))&gt;3,IF(TYPE(VLOOKUP($A128,'5.kolo'!$K$3:$L$66,2,0))&gt;3,0,VLOOKUP($A128,'5.kolo'!$K$3:$L$66,2,0)),VLOOKUP($A128,'5.kolo'!$L$3:$O$66,4,0))</f>
        <v/>
      </c>
      <c r="BR128" s="333">
        <f ca="1">IF(TYPE(VLOOKUP($A128,'5.kolo'!$L$3:$L$66,1,0))&gt;3,IF(TYPE(VLOOKUP($A128,'5.kolo'!$O$3:$Q$66,2,0))&gt;3,0,VLOOKUP($A128,'5.kolo'!$O$3:$Q$66,2,0)),VLOOKUP($A128,'5.kolo'!$L$3:$N$66,2,0))</f>
        <v>0</v>
      </c>
      <c r="BS128" s="333">
        <f ca="1">IF(TYPE(VLOOKUP($A128,'5.kolo'!$L$3:$L$66,1,0))&gt;3,IF(TYPE(VLOOKUP($A128,'5.kolo'!$O$3:$Q$66,3,0))&gt;3,0,VLOOKUP($A128,'5.kolo'!$O$3:$Q$66,3,0)),VLOOKUP($A128,'5.kolo'!$L$3:$N$66,3,0))</f>
        <v>0</v>
      </c>
      <c r="BT128" s="333">
        <f t="shared" ca="1" si="57"/>
        <v>0</v>
      </c>
      <c r="BU128" s="415"/>
      <c r="BV128" s="442" t="str">
        <f ca="1">IF(BU128="","",CONCATENATE(TEXT($O128,"0"),IF(Start.listina!$Y$5="","",TEXT(500+$P128,"000")),TEXT(999999*RAND(),"000000")))</f>
        <v/>
      </c>
      <c r="BW128" s="333">
        <f t="shared" ca="1" si="66"/>
        <v>0</v>
      </c>
      <c r="BZ128" s="333" t="str">
        <f ca="1">IF(TYPE(VLOOKUP($A128,'6.kolo'!$L$3:$L$66,1,0))&gt;3,IF(TYPE(VLOOKUP($A128,'6.kolo'!$K$3:$L$66,2,0))&gt;3,0,VLOOKUP($A128,'6.kolo'!$K$3:$L$66,2,0)),VLOOKUP($A128,'6.kolo'!$L$3:$O$66,4,0))</f>
        <v/>
      </c>
      <c r="CA128" s="333">
        <f ca="1">IF(TYPE(VLOOKUP($A128,'6.kolo'!$L$3:$L$66,1,0))&gt;3,IF(TYPE(VLOOKUP($A128,'6.kolo'!$O$3:$Q$66,2,0))&gt;3,0,VLOOKUP($A128,'6.kolo'!$O$3:$Q$66,2,0)),VLOOKUP($A128,'6.kolo'!$L$3:$N$66,2,0))</f>
        <v>0</v>
      </c>
      <c r="CB128" s="333">
        <f ca="1">IF(TYPE(VLOOKUP($A128,'6.kolo'!$L$3:$L$66,1,0))&gt;3,IF(TYPE(VLOOKUP($A128,'6.kolo'!$O$3:$Q$66,3,0))&gt;3,0,VLOOKUP($A128,'6.kolo'!$O$3:$Q$66,3,0)),VLOOKUP($A128,'6.kolo'!$L$3:$N$66,3,0))</f>
        <v>0</v>
      </c>
      <c r="CC128" s="333">
        <f t="shared" ca="1" si="58"/>
        <v>0</v>
      </c>
      <c r="CD128" s="415"/>
      <c r="CE128" s="442" t="str">
        <f ca="1">IF(CD128="","",CONCATENATE(TEXT($O128,"0"),IF(Start.listina!$Y$5="","",TEXT(500+$P128,"000")),TEXT(999999*RAND(),"000000")))</f>
        <v/>
      </c>
      <c r="CF128" s="333">
        <f t="shared" ca="1" si="67"/>
        <v>0</v>
      </c>
    </row>
    <row r="129" spans="1:84" x14ac:dyDescent="0.25">
      <c r="A129" s="333" t="str">
        <f>IF(OR(Start.listina!H137&gt;Start.listina!$K$7,Start.listina!G137=TRUE),"",Start.listina!H137)</f>
        <v/>
      </c>
      <c r="B129" s="333" t="str">
        <f>IF($A129&gt;Start.listina!$K$7,"",INT(($A129-1)/Start.listina!$O$7)+1)</f>
        <v/>
      </c>
      <c r="C129" s="439" t="str">
        <f>IF(OR(Start.listina!H137&gt;Start.listina!$K$7,Start.listina!G137=TRUE)," - ",Start.listina!AL137)</f>
        <v xml:space="preserve"> - </v>
      </c>
      <c r="D129" s="333" t="str">
        <f>IF(OR(A129&gt;Start.listina!$K$7,TYPE(VLOOKUP(A129,$V$3:$X$130,3,0))&gt;3),"",VLOOKUP(A129,$V$3:$X$130,3,0))</f>
        <v/>
      </c>
      <c r="E129" s="440" t="str">
        <f>IF(A129&gt;Start.listina!$K$7,"",IF(MIN(F129:K129)&gt;Start.listina!$Y$4,D129,MIN(F129:K129)))</f>
        <v/>
      </c>
      <c r="F129" s="333">
        <f ca="1">IF(TYPE(VLOOKUP(C129,Konečné_pořadí_1_16!$B$2:$D$17,3,0))&lt;4,VLOOKUP(C129,Konečné_pořadí_1_16!$B$2:$D$17,3,0),999)</f>
        <v>999</v>
      </c>
      <c r="G129" s="333">
        <f ca="1">IF(TYPE(VLOOKUP(C129,'KO64'!$D$4:$D$129,1,0))&lt;4,64,999)</f>
        <v>64</v>
      </c>
      <c r="H129" s="333">
        <f ca="1">IF(TYPE(VLOOKUP(C129,'KO32'!$D$4:$D$65,1,0))&lt;4,32,999)</f>
        <v>32</v>
      </c>
      <c r="I129" s="333">
        <f ca="1">IF(TYPE(VLOOKUP(C129,'KO16'!$D$4:$D$33,1,0))&lt;4,16,999)</f>
        <v>999</v>
      </c>
      <c r="J129" s="333">
        <f ca="1">IF(TYPE(VLOOKUP(C129,'KO8'!$D$4:$D$17,1,0))&lt;4,8,999)</f>
        <v>999</v>
      </c>
      <c r="K129" s="333">
        <f ca="1">IF(TYPE(VLOOKUP(C129,'KO4'!$D$4:$D$9,1,0))&lt;4,4,999)</f>
        <v>999</v>
      </c>
      <c r="M129" s="334">
        <v>127</v>
      </c>
      <c r="O129" s="333">
        <f t="shared" ca="1" si="42"/>
        <v>0</v>
      </c>
      <c r="P129" s="333">
        <f t="shared" ca="1" si="43"/>
        <v>0</v>
      </c>
      <c r="Q129" s="333">
        <f t="shared" ca="1" si="60"/>
        <v>2</v>
      </c>
      <c r="R129" s="333">
        <f t="shared" ca="1" si="61"/>
        <v>0</v>
      </c>
      <c r="S129" s="333">
        <f t="shared" ca="1" si="44"/>
        <v>16</v>
      </c>
      <c r="T129" s="333">
        <f t="shared" ca="1" si="45"/>
        <v>0</v>
      </c>
      <c r="U129" s="415">
        <f t="shared" si="59"/>
        <v>127</v>
      </c>
      <c r="V129" s="415" t="s">
        <v>2005</v>
      </c>
      <c r="W129" s="441" t="str">
        <f ca="1">IF($V129="","",CONCATENATE(TEXT($O129,"0"),IF(Start.listina!$Y$5="","",TEXT(500+$P129,"0000")),IF(Start.listina!$Y$6="","",CHOOSE(Start.listina!$Y$7,TEXT($Q129,"00"),CONCATENATE(TEXT($Q129,"00"),TEXT($S129,"000")), TEXT($R129,"00"))),TEXT(500+$P129,"0000"),IF(Start.listina!$Y$8="","",TEXT($T129,"0")),TEXT(999999*RAND(),"000000")))</f>
        <v/>
      </c>
      <c r="X129" s="417">
        <f t="shared" si="46"/>
        <v>127</v>
      </c>
      <c r="Y129" s="415">
        <f t="shared" ca="1" si="62"/>
        <v>0</v>
      </c>
      <c r="Z129" s="333">
        <f t="shared" ca="1" si="47"/>
        <v>51</v>
      </c>
      <c r="AA129" s="333" t="str">
        <f t="shared" ca="1" si="48"/>
        <v/>
      </c>
      <c r="AB129" s="333" t="str">
        <f t="shared" ca="1" si="49"/>
        <v/>
      </c>
      <c r="AC129" s="333" t="str">
        <f t="shared" ca="1" si="50"/>
        <v/>
      </c>
      <c r="AD129" s="333" t="str">
        <f t="shared" ca="1" si="51"/>
        <v/>
      </c>
      <c r="AE129" s="333" t="str">
        <f t="shared" ca="1" si="52"/>
        <v/>
      </c>
      <c r="AG129" s="333">
        <f ca="1">IF(TYPE(VLOOKUP($A129,'1.kolo'!$L$3:$L$66,1,0))&gt;3,VLOOKUP($A129,'1.kolo'!$K$3:$L$66,2,0),VLOOKUP($A129,'1.kolo'!$L$3:$O$66,4,0))</f>
        <v>51</v>
      </c>
      <c r="AH129" s="333">
        <f ca="1">IF(TYPE(VLOOKUP($A129,'1.kolo'!$L$3:$L$66,1,0))&gt;3,VLOOKUP($A129,'1.kolo'!$O$3:$Q$66,2,0),VLOOKUP($A129,'1.kolo'!$L$3:$N$66,2,0))</f>
        <v>0</v>
      </c>
      <c r="AI129" s="333">
        <f ca="1">IF(TYPE(VLOOKUP($A129,'1.kolo'!$L$3:$L$66,1,0))&gt;3,VLOOKUP($A129,'1.kolo'!$O$3:$Q$66,3,0),VLOOKUP($A129,'1.kolo'!$L$3:$N$66,3,0))</f>
        <v>0</v>
      </c>
      <c r="AJ129" s="333">
        <f t="shared" ca="1" si="53"/>
        <v>0</v>
      </c>
      <c r="AK129" s="333">
        <v>127</v>
      </c>
      <c r="AL129" s="442"/>
      <c r="AP129" s="333" t="str">
        <f ca="1">IF(TYPE(VLOOKUP($A129,'2.kolo'!$L$3:$L$66,1,0))&gt;3,IF(TYPE(VLOOKUP($A129,'2.kolo'!$K$3:$L$66,2,0))&gt;3,0,VLOOKUP($A129,'2.kolo'!$K$3:$L$66,2,0)),VLOOKUP($A129,'2.kolo'!$L$3:$O$66,4,0))</f>
        <v/>
      </c>
      <c r="AQ129" s="333">
        <f ca="1">IF(TYPE(VLOOKUP($A129,'2.kolo'!$L$3:$L$66,1,0))&gt;3,IF(TYPE(VLOOKUP($A129,'2.kolo'!$O$3:$Q$66,2,0))&gt;3,0,VLOOKUP($A129,'2.kolo'!$O$3:$Q$66,2,0)),VLOOKUP($A129,'2.kolo'!$L$3:$N$66,2,0))</f>
        <v>0</v>
      </c>
      <c r="AR129" s="333">
        <f ca="1">IF(TYPE(VLOOKUP($A129,'2.kolo'!$L$3:$L$66,1,0))&gt;3,IF(TYPE(VLOOKUP($A129,'2.kolo'!$O$3:$Q$66,3,0))&gt;3,0,VLOOKUP($A129,'2.kolo'!$O$3:$Q$66,3,0)),VLOOKUP($A129,'2.kolo'!$L$3:$N$66,3,0))</f>
        <v>0</v>
      </c>
      <c r="AS129" s="333">
        <f t="shared" ca="1" si="54"/>
        <v>0</v>
      </c>
      <c r="AT129" s="415" t="s">
        <v>2005</v>
      </c>
      <c r="AU129" s="442" t="str">
        <f ca="1">IF(AT129="","",CONCATENATE(TEXT($O129,"0"),IF(Start.listina!$Y$5="","",TEXT(500+$P129,"000")),TEXT(999999*RAND(),"000000")))</f>
        <v/>
      </c>
      <c r="AV129" s="333">
        <f t="shared" ca="1" si="63"/>
        <v>0</v>
      </c>
      <c r="AY129" s="333" t="str">
        <f ca="1">IF(TYPE(VLOOKUP($A129,'3.kolo'!$L$3:$L$66,1,0))&gt;3,IF(TYPE(VLOOKUP($A129,'3.kolo'!$K$3:$L$66,2,0))&gt;3,0,VLOOKUP($A129,'3.kolo'!$K$3:$L$66,2,0)),VLOOKUP($A129,'3.kolo'!$L$3:$O$66,4,0))</f>
        <v/>
      </c>
      <c r="AZ129" s="333">
        <f ca="1">IF(TYPE(VLOOKUP($A129,'3.kolo'!$L$3:$L$66,1,0))&gt;3,IF(TYPE(VLOOKUP($A129,'3.kolo'!$O$3:$Q$66,2,0))&gt;3,0,VLOOKUP($A129,'3.kolo'!$O$3:$Q$66,2,0)),VLOOKUP($A129,'3.kolo'!$L$3:$N$66,2,0))</f>
        <v>0</v>
      </c>
      <c r="BA129" s="333">
        <f ca="1">IF(TYPE(VLOOKUP($A129,'3.kolo'!$L$3:$L$66,1,0))&gt;3,IF(TYPE(VLOOKUP($A129,'3.kolo'!$O$3:$Q$66,3,0))&gt;3,0,VLOOKUP($A129,'3.kolo'!$O$3:$Q$66,3,0)),VLOOKUP($A129,'3.kolo'!$L$3:$N$66,3,0))</f>
        <v>0</v>
      </c>
      <c r="BB129" s="333">
        <f t="shared" ca="1" si="55"/>
        <v>0</v>
      </c>
      <c r="BC129" s="415" t="s">
        <v>2005</v>
      </c>
      <c r="BD129" s="442" t="str">
        <f ca="1">IF(BC129="","",CONCATENATE(TEXT($O129,"0"),IF(Start.listina!$Y$5="","",TEXT(500+$P129,"000")),TEXT(999999*RAND(),"000000")))</f>
        <v/>
      </c>
      <c r="BE129" s="333">
        <f t="shared" ca="1" si="64"/>
        <v>0</v>
      </c>
      <c r="BH129" s="333" t="str">
        <f ca="1">IF(TYPE(VLOOKUP($A129,'4.kolo'!$L$3:$L$66,1,0))&gt;3,IF(TYPE(VLOOKUP($A129,'4.kolo'!$K$3:$L$66,2,0))&gt;3,0,VLOOKUP($A129,'4.kolo'!$K$3:$L$66,2,0)),VLOOKUP($A129,'4.kolo'!$L$3:$O$66,4,0))</f>
        <v/>
      </c>
      <c r="BI129" s="333">
        <f ca="1">IF(TYPE(VLOOKUP($A129,'4.kolo'!$L$3:$L$66,1,0))&gt;3,IF(TYPE(VLOOKUP($A129,'4.kolo'!$O$3:$Q$66,2,0))&gt;3,0,VLOOKUP($A129,'4.kolo'!$O$3:$Q$66,2,0)),VLOOKUP($A129,'4.kolo'!$L$3:$N$66,2,0))</f>
        <v>0</v>
      </c>
      <c r="BJ129" s="333">
        <f ca="1">IF(TYPE(VLOOKUP($A129,'4.kolo'!$L$3:$L$66,1,0))&gt;3,IF(TYPE(VLOOKUP($A129,'4.kolo'!$O$3:$Q$66,3,0))&gt;3,0,VLOOKUP($A129,'4.kolo'!$O$3:$Q$66,3,0)),VLOOKUP($A129,'4.kolo'!$L$3:$N$66,3,0))</f>
        <v>0</v>
      </c>
      <c r="BK129" s="333">
        <f t="shared" ca="1" si="56"/>
        <v>0</v>
      </c>
      <c r="BL129" s="415" t="s">
        <v>2005</v>
      </c>
      <c r="BM129" s="442" t="str">
        <f ca="1">IF(BL129="","",CONCATENATE(TEXT($O129,"0"),IF(Start.listina!$Y$5="","",TEXT(500+$P129,"000")),TEXT(999999*RAND(),"000000")))</f>
        <v/>
      </c>
      <c r="BN129" s="333">
        <f t="shared" ca="1" si="65"/>
        <v>0</v>
      </c>
      <c r="BQ129" s="333" t="str">
        <f ca="1">IF(TYPE(VLOOKUP($A129,'5.kolo'!$L$3:$L$66,1,0))&gt;3,IF(TYPE(VLOOKUP($A129,'5.kolo'!$K$3:$L$66,2,0))&gt;3,0,VLOOKUP($A129,'5.kolo'!$K$3:$L$66,2,0)),VLOOKUP($A129,'5.kolo'!$L$3:$O$66,4,0))</f>
        <v/>
      </c>
      <c r="BR129" s="333">
        <f ca="1">IF(TYPE(VLOOKUP($A129,'5.kolo'!$L$3:$L$66,1,0))&gt;3,IF(TYPE(VLOOKUP($A129,'5.kolo'!$O$3:$Q$66,2,0))&gt;3,0,VLOOKUP($A129,'5.kolo'!$O$3:$Q$66,2,0)),VLOOKUP($A129,'5.kolo'!$L$3:$N$66,2,0))</f>
        <v>0</v>
      </c>
      <c r="BS129" s="333">
        <f ca="1">IF(TYPE(VLOOKUP($A129,'5.kolo'!$L$3:$L$66,1,0))&gt;3,IF(TYPE(VLOOKUP($A129,'5.kolo'!$O$3:$Q$66,3,0))&gt;3,0,VLOOKUP($A129,'5.kolo'!$O$3:$Q$66,3,0)),VLOOKUP($A129,'5.kolo'!$L$3:$N$66,3,0))</f>
        <v>0</v>
      </c>
      <c r="BT129" s="333">
        <f t="shared" ca="1" si="57"/>
        <v>0</v>
      </c>
      <c r="BU129" s="415"/>
      <c r="BV129" s="442" t="str">
        <f ca="1">IF(BU129="","",CONCATENATE(TEXT($O129,"0"),IF(Start.listina!$Y$5="","",TEXT(500+$P129,"000")),TEXT(999999*RAND(),"000000")))</f>
        <v/>
      </c>
      <c r="BW129" s="333">
        <f t="shared" ca="1" si="66"/>
        <v>0</v>
      </c>
      <c r="BZ129" s="333" t="str">
        <f ca="1">IF(TYPE(VLOOKUP($A129,'6.kolo'!$L$3:$L$66,1,0))&gt;3,IF(TYPE(VLOOKUP($A129,'6.kolo'!$K$3:$L$66,2,0))&gt;3,0,VLOOKUP($A129,'6.kolo'!$K$3:$L$66,2,0)),VLOOKUP($A129,'6.kolo'!$L$3:$O$66,4,0))</f>
        <v/>
      </c>
      <c r="CA129" s="333">
        <f ca="1">IF(TYPE(VLOOKUP($A129,'6.kolo'!$L$3:$L$66,1,0))&gt;3,IF(TYPE(VLOOKUP($A129,'6.kolo'!$O$3:$Q$66,2,0))&gt;3,0,VLOOKUP($A129,'6.kolo'!$O$3:$Q$66,2,0)),VLOOKUP($A129,'6.kolo'!$L$3:$N$66,2,0))</f>
        <v>0</v>
      </c>
      <c r="CB129" s="333">
        <f ca="1">IF(TYPE(VLOOKUP($A129,'6.kolo'!$L$3:$L$66,1,0))&gt;3,IF(TYPE(VLOOKUP($A129,'6.kolo'!$O$3:$Q$66,3,0))&gt;3,0,VLOOKUP($A129,'6.kolo'!$O$3:$Q$66,3,0)),VLOOKUP($A129,'6.kolo'!$L$3:$N$66,3,0))</f>
        <v>0</v>
      </c>
      <c r="CC129" s="333">
        <f t="shared" ca="1" si="58"/>
        <v>0</v>
      </c>
      <c r="CD129" s="415"/>
      <c r="CE129" s="442" t="str">
        <f ca="1">IF(CD129="","",CONCATENATE(TEXT($O129,"0"),IF(Start.listina!$Y$5="","",TEXT(500+$P129,"000")),TEXT(999999*RAND(),"000000")))</f>
        <v/>
      </c>
      <c r="CF129" s="333">
        <f t="shared" ca="1" si="67"/>
        <v>0</v>
      </c>
    </row>
    <row r="130" spans="1:84" x14ac:dyDescent="0.25">
      <c r="A130" s="333" t="str">
        <f>IF(OR(Start.listina!H138&gt;Start.listina!$K$7,Start.listina!G138=TRUE),"",Start.listina!H138)</f>
        <v/>
      </c>
      <c r="B130" s="333" t="str">
        <f>IF($A130&gt;Start.listina!$K$7,"",INT(($A130-1)/Start.listina!$O$7)+1)</f>
        <v/>
      </c>
      <c r="C130" s="439" t="str">
        <f>IF(OR(Start.listina!H138&gt;Start.listina!$K$7,Start.listina!G138=TRUE)," - ",Start.listina!AL138)</f>
        <v xml:space="preserve"> - </v>
      </c>
      <c r="D130" s="333" t="str">
        <f>IF(OR(A130&gt;Start.listina!$K$7,TYPE(VLOOKUP(A130,$V$3:$X$130,3,0))&gt;3),"",VLOOKUP(A130,$V$3:$X$130,3,0))</f>
        <v/>
      </c>
      <c r="E130" s="440" t="str">
        <f>IF(A130&gt;Start.listina!$K$7,"",IF(MIN(F130:K130)&gt;Start.listina!$Y$4,D130,MIN(F130:K130)))</f>
        <v/>
      </c>
      <c r="F130" s="333">
        <f ca="1">IF(TYPE(VLOOKUP(C130,Konečné_pořadí_1_16!$B$2:$D$17,3,0))&lt;4,VLOOKUP(C130,Konečné_pořadí_1_16!$B$2:$D$17,3,0),999)</f>
        <v>999</v>
      </c>
      <c r="G130" s="333">
        <f ca="1">IF(TYPE(VLOOKUP(C130,'KO64'!$D$4:$D$129,1,0))&lt;4,64,999)</f>
        <v>64</v>
      </c>
      <c r="H130" s="333">
        <f ca="1">IF(TYPE(VLOOKUP(C130,'KO32'!$D$4:$D$65,1,0))&lt;4,32,999)</f>
        <v>32</v>
      </c>
      <c r="I130" s="333">
        <f ca="1">IF(TYPE(VLOOKUP(C130,'KO16'!$D$4:$D$33,1,0))&lt;4,16,999)</f>
        <v>999</v>
      </c>
      <c r="J130" s="333">
        <f ca="1">IF(TYPE(VLOOKUP(C130,'KO8'!$D$4:$D$17,1,0))&lt;4,8,999)</f>
        <v>999</v>
      </c>
      <c r="K130" s="333">
        <f ca="1">IF(TYPE(VLOOKUP(C130,'KO4'!$D$4:$D$9,1,0))&lt;4,4,999)</f>
        <v>999</v>
      </c>
      <c r="M130" s="334">
        <v>128</v>
      </c>
      <c r="O130" s="333">
        <f t="shared" ca="1" si="42"/>
        <v>0</v>
      </c>
      <c r="P130" s="333">
        <f t="shared" ca="1" si="43"/>
        <v>0</v>
      </c>
      <c r="Q130" s="333">
        <f t="shared" ca="1" si="60"/>
        <v>2</v>
      </c>
      <c r="R130" s="333">
        <f t="shared" ca="1" si="61"/>
        <v>0</v>
      </c>
      <c r="S130" s="333">
        <f t="shared" ca="1" si="44"/>
        <v>16</v>
      </c>
      <c r="T130" s="333">
        <f t="shared" ca="1" si="45"/>
        <v>0</v>
      </c>
      <c r="U130" s="415">
        <f t="shared" si="59"/>
        <v>128</v>
      </c>
      <c r="V130" s="415" t="s">
        <v>2005</v>
      </c>
      <c r="W130" s="441" t="str">
        <f ca="1">IF($V130="","",CONCATENATE(TEXT($O130,"0"),IF(Start.listina!$Y$5="","",TEXT(500+$P130,"0000")),IF(Start.listina!$Y$6="","",CHOOSE(Start.listina!$Y$7,TEXT($Q130,"00"),CONCATENATE(TEXT($Q130,"00"),TEXT($S130,"000")), TEXT($R130,"00"))),TEXT(500+$P130,"0000"),IF(Start.listina!$Y$8="","",TEXT($T130,"0")),TEXT(999999*RAND(),"000000")))</f>
        <v/>
      </c>
      <c r="X130" s="417">
        <f t="shared" si="46"/>
        <v>128</v>
      </c>
      <c r="Y130" s="415">
        <f t="shared" ca="1" si="62"/>
        <v>0</v>
      </c>
      <c r="Z130" s="333">
        <f t="shared" ca="1" si="47"/>
        <v>51</v>
      </c>
      <c r="AA130" s="333" t="str">
        <f t="shared" ca="1" si="48"/>
        <v/>
      </c>
      <c r="AB130" s="333" t="str">
        <f t="shared" ca="1" si="49"/>
        <v/>
      </c>
      <c r="AC130" s="333" t="str">
        <f t="shared" ca="1" si="50"/>
        <v/>
      </c>
      <c r="AD130" s="333" t="str">
        <f t="shared" ca="1" si="51"/>
        <v/>
      </c>
      <c r="AE130" s="333" t="str">
        <f t="shared" ca="1" si="52"/>
        <v/>
      </c>
      <c r="AG130" s="333">
        <f ca="1">IF(TYPE(VLOOKUP($A130,'1.kolo'!$L$3:$L$66,1,0))&gt;3,VLOOKUP($A130,'1.kolo'!$K$3:$L$66,2,0),VLOOKUP($A130,'1.kolo'!$L$3:$O$66,4,0))</f>
        <v>51</v>
      </c>
      <c r="AH130" s="333">
        <f ca="1">IF(TYPE(VLOOKUP($A130,'1.kolo'!$L$3:$L$66,1,0))&gt;3,VLOOKUP($A130,'1.kolo'!$O$3:$Q$66,2,0),VLOOKUP($A130,'1.kolo'!$L$3:$N$66,2,0))</f>
        <v>0</v>
      </c>
      <c r="AI130" s="333">
        <f ca="1">IF(TYPE(VLOOKUP($A130,'1.kolo'!$L$3:$L$66,1,0))&gt;3,VLOOKUP($A130,'1.kolo'!$O$3:$Q$66,3,0),VLOOKUP($A130,'1.kolo'!$L$3:$N$66,3,0))</f>
        <v>0</v>
      </c>
      <c r="AJ130" s="333">
        <f t="shared" ca="1" si="53"/>
        <v>0</v>
      </c>
      <c r="AK130" s="333">
        <v>128</v>
      </c>
      <c r="AL130" s="442"/>
      <c r="AP130" s="333" t="str">
        <f ca="1">IF(TYPE(VLOOKUP($A130,'2.kolo'!$L$3:$L$66,1,0))&gt;3,IF(TYPE(VLOOKUP($A130,'2.kolo'!$K$3:$L$66,2,0))&gt;3,0,VLOOKUP($A130,'2.kolo'!$K$3:$L$66,2,0)),VLOOKUP($A130,'2.kolo'!$L$3:$O$66,4,0))</f>
        <v/>
      </c>
      <c r="AQ130" s="333">
        <f ca="1">IF(TYPE(VLOOKUP($A130,'2.kolo'!$L$3:$L$66,1,0))&gt;3,IF(TYPE(VLOOKUP($A130,'2.kolo'!$O$3:$Q$66,2,0))&gt;3,0,VLOOKUP($A130,'2.kolo'!$O$3:$Q$66,2,0)),VLOOKUP($A130,'2.kolo'!$L$3:$N$66,2,0))</f>
        <v>0</v>
      </c>
      <c r="AR130" s="333">
        <f ca="1">IF(TYPE(VLOOKUP($A130,'2.kolo'!$L$3:$L$66,1,0))&gt;3,IF(TYPE(VLOOKUP($A130,'2.kolo'!$O$3:$Q$66,3,0))&gt;3,0,VLOOKUP($A130,'2.kolo'!$O$3:$Q$66,3,0)),VLOOKUP($A130,'2.kolo'!$L$3:$N$66,3,0))</f>
        <v>0</v>
      </c>
      <c r="AS130" s="333">
        <f t="shared" ca="1" si="54"/>
        <v>0</v>
      </c>
      <c r="AT130" s="415" t="s">
        <v>2005</v>
      </c>
      <c r="AU130" s="442" t="str">
        <f ca="1">IF(AT130="","",CONCATENATE(TEXT($O130,"0"),IF(Start.listina!$Y$5="","",TEXT(500+$P130,"000")),TEXT(999999*RAND(),"000000")))</f>
        <v/>
      </c>
      <c r="AV130" s="333">
        <f t="shared" ca="1" si="63"/>
        <v>0</v>
      </c>
      <c r="AY130" s="333" t="str">
        <f ca="1">IF(TYPE(VLOOKUP($A130,'3.kolo'!$L$3:$L$66,1,0))&gt;3,IF(TYPE(VLOOKUP($A130,'3.kolo'!$K$3:$L$66,2,0))&gt;3,0,VLOOKUP($A130,'3.kolo'!$K$3:$L$66,2,0)),VLOOKUP($A130,'3.kolo'!$L$3:$O$66,4,0))</f>
        <v/>
      </c>
      <c r="AZ130" s="333">
        <f ca="1">IF(TYPE(VLOOKUP($A130,'3.kolo'!$L$3:$L$66,1,0))&gt;3,IF(TYPE(VLOOKUP($A130,'3.kolo'!$O$3:$Q$66,2,0))&gt;3,0,VLOOKUP($A130,'3.kolo'!$O$3:$Q$66,2,0)),VLOOKUP($A130,'3.kolo'!$L$3:$N$66,2,0))</f>
        <v>0</v>
      </c>
      <c r="BA130" s="333">
        <f ca="1">IF(TYPE(VLOOKUP($A130,'3.kolo'!$L$3:$L$66,1,0))&gt;3,IF(TYPE(VLOOKUP($A130,'3.kolo'!$O$3:$Q$66,3,0))&gt;3,0,VLOOKUP($A130,'3.kolo'!$O$3:$Q$66,3,0)),VLOOKUP($A130,'3.kolo'!$L$3:$N$66,3,0))</f>
        <v>0</v>
      </c>
      <c r="BB130" s="333">
        <f t="shared" ca="1" si="55"/>
        <v>0</v>
      </c>
      <c r="BC130" s="415" t="s">
        <v>2005</v>
      </c>
      <c r="BD130" s="442" t="str">
        <f ca="1">IF(BC130="","",CONCATENATE(TEXT($O130,"0"),IF(Start.listina!$Y$5="","",TEXT(500+$P130,"000")),TEXT(999999*RAND(),"000000")))</f>
        <v/>
      </c>
      <c r="BE130" s="333">
        <f t="shared" ca="1" si="64"/>
        <v>0</v>
      </c>
      <c r="BH130" s="333" t="str">
        <f ca="1">IF(TYPE(VLOOKUP($A130,'4.kolo'!$L$3:$L$66,1,0))&gt;3,IF(TYPE(VLOOKUP($A130,'4.kolo'!$K$3:$L$66,2,0))&gt;3,0,VLOOKUP($A130,'4.kolo'!$K$3:$L$66,2,0)),VLOOKUP($A130,'4.kolo'!$L$3:$O$66,4,0))</f>
        <v/>
      </c>
      <c r="BI130" s="333">
        <f ca="1">IF(TYPE(VLOOKUP($A130,'4.kolo'!$L$3:$L$66,1,0))&gt;3,IF(TYPE(VLOOKUP($A130,'4.kolo'!$O$3:$Q$66,2,0))&gt;3,0,VLOOKUP($A130,'4.kolo'!$O$3:$Q$66,2,0)),VLOOKUP($A130,'4.kolo'!$L$3:$N$66,2,0))</f>
        <v>0</v>
      </c>
      <c r="BJ130" s="333">
        <f ca="1">IF(TYPE(VLOOKUP($A130,'4.kolo'!$L$3:$L$66,1,0))&gt;3,IF(TYPE(VLOOKUP($A130,'4.kolo'!$O$3:$Q$66,3,0))&gt;3,0,VLOOKUP($A130,'4.kolo'!$O$3:$Q$66,3,0)),VLOOKUP($A130,'4.kolo'!$L$3:$N$66,3,0))</f>
        <v>0</v>
      </c>
      <c r="BK130" s="333">
        <f t="shared" ca="1" si="56"/>
        <v>0</v>
      </c>
      <c r="BL130" s="415" t="s">
        <v>2005</v>
      </c>
      <c r="BM130" s="442" t="str">
        <f ca="1">IF(BL130="","",CONCATENATE(TEXT($O130,"0"),IF(Start.listina!$Y$5="","",TEXT(500+$P130,"000")),TEXT(999999*RAND(),"000000")))</f>
        <v/>
      </c>
      <c r="BN130" s="333">
        <f t="shared" ca="1" si="65"/>
        <v>0</v>
      </c>
      <c r="BQ130" s="333" t="str">
        <f ca="1">IF(TYPE(VLOOKUP($A130,'5.kolo'!$L$3:$L$66,1,0))&gt;3,IF(TYPE(VLOOKUP($A130,'5.kolo'!$K$3:$L$66,2,0))&gt;3,0,VLOOKUP($A130,'5.kolo'!$K$3:$L$66,2,0)),VLOOKUP($A130,'5.kolo'!$L$3:$O$66,4,0))</f>
        <v/>
      </c>
      <c r="BR130" s="333">
        <f ca="1">IF(TYPE(VLOOKUP($A130,'5.kolo'!$L$3:$L$66,1,0))&gt;3,IF(TYPE(VLOOKUP($A130,'5.kolo'!$O$3:$Q$66,2,0))&gt;3,0,VLOOKUP($A130,'5.kolo'!$O$3:$Q$66,2,0)),VLOOKUP($A130,'5.kolo'!$L$3:$N$66,2,0))</f>
        <v>0</v>
      </c>
      <c r="BS130" s="333">
        <f ca="1">IF(TYPE(VLOOKUP($A130,'5.kolo'!$L$3:$L$66,1,0))&gt;3,IF(TYPE(VLOOKUP($A130,'5.kolo'!$O$3:$Q$66,3,0))&gt;3,0,VLOOKUP($A130,'5.kolo'!$O$3:$Q$66,3,0)),VLOOKUP($A130,'5.kolo'!$L$3:$N$66,3,0))</f>
        <v>0</v>
      </c>
      <c r="BT130" s="333">
        <f t="shared" ca="1" si="57"/>
        <v>0</v>
      </c>
      <c r="BU130" s="415"/>
      <c r="BV130" s="442" t="str">
        <f ca="1">IF(BU130="","",CONCATENATE(TEXT($O130,"0"),IF(Start.listina!$Y$5="","",TEXT(500+$P130,"000")),TEXT(999999*RAND(),"000000")))</f>
        <v/>
      </c>
      <c r="BW130" s="333">
        <f t="shared" ca="1" si="66"/>
        <v>0</v>
      </c>
      <c r="BZ130" s="333" t="str">
        <f ca="1">IF(TYPE(VLOOKUP($A130,'6.kolo'!$L$3:$L$66,1,0))&gt;3,IF(TYPE(VLOOKUP($A130,'6.kolo'!$K$3:$L$66,2,0))&gt;3,0,VLOOKUP($A130,'6.kolo'!$K$3:$L$66,2,0)),VLOOKUP($A130,'6.kolo'!$L$3:$O$66,4,0))</f>
        <v/>
      </c>
      <c r="CA130" s="333">
        <f ca="1">IF(TYPE(VLOOKUP($A130,'6.kolo'!$L$3:$L$66,1,0))&gt;3,IF(TYPE(VLOOKUP($A130,'6.kolo'!$O$3:$Q$66,2,0))&gt;3,0,VLOOKUP($A130,'6.kolo'!$O$3:$Q$66,2,0)),VLOOKUP($A130,'6.kolo'!$L$3:$N$66,2,0))</f>
        <v>0</v>
      </c>
      <c r="CB130" s="333">
        <f ca="1">IF(TYPE(VLOOKUP($A130,'6.kolo'!$L$3:$L$66,1,0))&gt;3,IF(TYPE(VLOOKUP($A130,'6.kolo'!$O$3:$Q$66,3,0))&gt;3,0,VLOOKUP($A130,'6.kolo'!$O$3:$Q$66,3,0)),VLOOKUP($A130,'6.kolo'!$L$3:$N$66,3,0))</f>
        <v>0</v>
      </c>
      <c r="CC130" s="333">
        <f t="shared" ca="1" si="58"/>
        <v>0</v>
      </c>
      <c r="CD130" s="415"/>
      <c r="CE130" s="442" t="str">
        <f ca="1">IF(CD130="","",CONCATENATE(TEXT($O130,"0"),IF(Start.listina!$Y$5="","",TEXT(500+$P130,"000")),TEXT(999999*RAND(),"000000")))</f>
        <v/>
      </c>
      <c r="CF130" s="333">
        <f t="shared" ca="1" si="67"/>
        <v>0</v>
      </c>
    </row>
    <row r="131" spans="1:84" x14ac:dyDescent="0.25">
      <c r="A131" s="333">
        <v>0</v>
      </c>
      <c r="V131" s="333">
        <v>0</v>
      </c>
      <c r="Y131" s="333">
        <v>0</v>
      </c>
      <c r="AH131" s="333">
        <v>0</v>
      </c>
      <c r="AQ131" s="333">
        <v>0</v>
      </c>
      <c r="AZ131" s="333">
        <v>0</v>
      </c>
      <c r="BI131" s="333">
        <v>0</v>
      </c>
      <c r="BR131" s="333">
        <v>0</v>
      </c>
      <c r="CA131" s="333">
        <v>0</v>
      </c>
    </row>
    <row r="132" spans="1:84" x14ac:dyDescent="0.25">
      <c r="A132" s="443">
        <v>1</v>
      </c>
      <c r="B132" s="443">
        <v>2</v>
      </c>
      <c r="C132" s="443">
        <v>3</v>
      </c>
      <c r="D132" s="443">
        <v>4</v>
      </c>
      <c r="E132" s="443">
        <v>5</v>
      </c>
      <c r="F132" s="443">
        <v>6</v>
      </c>
      <c r="G132" s="443">
        <v>7</v>
      </c>
      <c r="H132" s="443">
        <v>8</v>
      </c>
      <c r="I132" s="443">
        <v>9</v>
      </c>
      <c r="J132" s="443">
        <v>10</v>
      </c>
      <c r="K132" s="443">
        <v>11</v>
      </c>
      <c r="L132" s="443">
        <v>13</v>
      </c>
      <c r="M132" s="443">
        <v>13</v>
      </c>
      <c r="N132" s="443">
        <v>14</v>
      </c>
      <c r="O132" s="443">
        <v>15</v>
      </c>
      <c r="P132" s="443">
        <v>16</v>
      </c>
      <c r="Q132" s="443">
        <v>17</v>
      </c>
      <c r="R132" s="443">
        <v>18</v>
      </c>
      <c r="S132" s="443">
        <v>19</v>
      </c>
      <c r="T132" s="443">
        <v>20</v>
      </c>
      <c r="U132" s="443">
        <v>21</v>
      </c>
      <c r="V132" s="443">
        <v>22</v>
      </c>
      <c r="W132" s="443">
        <v>23</v>
      </c>
      <c r="X132" s="443">
        <v>24</v>
      </c>
      <c r="Y132" s="443">
        <v>25</v>
      </c>
      <c r="Z132" s="443">
        <v>26</v>
      </c>
      <c r="AA132" s="443">
        <v>27</v>
      </c>
      <c r="AB132" s="443">
        <v>28</v>
      </c>
      <c r="AC132" s="443">
        <v>29</v>
      </c>
      <c r="AD132" s="443">
        <v>30</v>
      </c>
      <c r="AE132" s="443">
        <v>31</v>
      </c>
      <c r="AF132" s="443">
        <v>32</v>
      </c>
      <c r="AG132" s="443">
        <v>33</v>
      </c>
      <c r="AH132" s="443">
        <v>34</v>
      </c>
      <c r="AI132" s="443">
        <v>35</v>
      </c>
      <c r="AJ132" s="443">
        <v>36</v>
      </c>
      <c r="AK132" s="443">
        <v>37</v>
      </c>
      <c r="AL132" s="443">
        <v>38</v>
      </c>
      <c r="AM132" s="443">
        <v>39</v>
      </c>
      <c r="AN132" s="443">
        <v>40</v>
      </c>
      <c r="AO132" s="443">
        <v>41</v>
      </c>
      <c r="AP132" s="443">
        <v>42</v>
      </c>
      <c r="AQ132" s="443">
        <v>43</v>
      </c>
      <c r="AR132" s="443">
        <v>44</v>
      </c>
      <c r="AS132" s="443">
        <v>45</v>
      </c>
      <c r="AT132" s="443">
        <v>46</v>
      </c>
      <c r="AU132" s="443">
        <v>47</v>
      </c>
      <c r="AV132" s="443">
        <v>48</v>
      </c>
      <c r="AW132" s="443">
        <v>49</v>
      </c>
      <c r="AX132" s="443">
        <v>50</v>
      </c>
      <c r="AY132" s="443">
        <v>51</v>
      </c>
      <c r="AZ132" s="443">
        <v>52</v>
      </c>
      <c r="BA132" s="443">
        <v>53</v>
      </c>
      <c r="BB132" s="443">
        <v>54</v>
      </c>
      <c r="BC132" s="443">
        <v>55</v>
      </c>
      <c r="BD132" s="443">
        <v>56</v>
      </c>
      <c r="BE132" s="443">
        <v>57</v>
      </c>
      <c r="BF132" s="443">
        <v>58</v>
      </c>
      <c r="BG132" s="443">
        <v>59</v>
      </c>
      <c r="BH132" s="443">
        <v>60</v>
      </c>
      <c r="BI132" s="443">
        <v>61</v>
      </c>
      <c r="BJ132" s="443">
        <v>62</v>
      </c>
      <c r="BK132" s="443">
        <v>63</v>
      </c>
      <c r="BL132" s="443">
        <v>64</v>
      </c>
      <c r="BM132" s="443">
        <v>65</v>
      </c>
      <c r="BN132" s="443">
        <v>66</v>
      </c>
      <c r="BO132" s="443">
        <v>67</v>
      </c>
      <c r="BP132" s="443">
        <v>68</v>
      </c>
      <c r="BQ132" s="443">
        <v>69</v>
      </c>
      <c r="BR132" s="443">
        <v>70</v>
      </c>
      <c r="BS132" s="443">
        <v>71</v>
      </c>
      <c r="BT132" s="443">
        <v>72</v>
      </c>
      <c r="BU132" s="443">
        <v>73</v>
      </c>
      <c r="BV132" s="443">
        <v>74</v>
      </c>
      <c r="BW132" s="443">
        <v>75</v>
      </c>
      <c r="BX132" s="443">
        <v>76</v>
      </c>
      <c r="BY132" s="443">
        <v>77</v>
      </c>
      <c r="BZ132" s="443">
        <v>78</v>
      </c>
      <c r="CA132" s="443">
        <v>79</v>
      </c>
      <c r="CB132" s="443">
        <v>80</v>
      </c>
      <c r="CC132" s="443">
        <v>81</v>
      </c>
      <c r="CD132" s="443">
        <v>82</v>
      </c>
      <c r="CE132" s="443">
        <v>83</v>
      </c>
      <c r="CF132" s="443">
        <v>84</v>
      </c>
    </row>
  </sheetData>
  <sheetProtection algorithmName="SHA-512" hashValue="xif8o0NlFxDu/T49oXkuqC+SsZvZytXjFLqnT64lKf480dsMKwxYIWzQ/xFPZONI98+U4w63ByBpK+sFkfQdVg==" saltValue="Wk9IDQVwBHVGtwzYjjXBpA==" spinCount="100000" sheet="1" objects="1" scenarios="1"/>
  <sortState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2016-07-16T17:39:46Z</cp:lastPrinted>
  <dcterms:created xsi:type="dcterms:W3CDTF">1998-08-08T11:38:32Z</dcterms:created>
  <dcterms:modified xsi:type="dcterms:W3CDTF">2016-07-21T05:57:22Z</dcterms:modified>
  <cp:category>PETANQUE</cp:category>
</cp:coreProperties>
</file>